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0" yWindow="0" windowWidth="28800" windowHeight="12735" activeTab="3"/>
  </bookViews>
  <sheets>
    <sheet name="план 19г " sheetId="1" r:id="rId1"/>
    <sheet name="план 19г развернутый" sheetId="4" r:id="rId2"/>
    <sheet name="отчет за 12 мес  2019" sheetId="3" r:id="rId3"/>
    <sheet name="отчет развернут за 12 мес 2019г" sheetId="5" r:id="rId4"/>
  </sheets>
  <definedNames>
    <definedName name="_xlnm.Print_Titles" localSheetId="2">'отчет за 12 мес  2019'!$5:$8</definedName>
    <definedName name="_xlnm.Print_Titles" localSheetId="3">'отчет развернут за 12 мес 2019г'!$5:$8</definedName>
    <definedName name="_xlnm.Print_Titles" localSheetId="0">'план 19г '!$5:$8</definedName>
    <definedName name="_xlnm.Print_Titles" localSheetId="1">'план 19г развернутый'!$5:$8</definedName>
    <definedName name="_xlnm.Print_Area" localSheetId="2">'отчет за 12 мес  2019'!$A$1:$AB$27</definedName>
    <definedName name="_xlnm.Print_Area" localSheetId="3">'отчет развернут за 12 мес 2019г'!$A$1:$AB$64</definedName>
    <definedName name="_xlnm.Print_Area" localSheetId="0">'план 19г '!$A$1:$N$26</definedName>
    <definedName name="_xlnm.Print_Area" localSheetId="1">'план 19г развернутый'!$A$1:$N$41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3" l="1"/>
  <c r="AA16" i="3"/>
  <c r="AA52" i="5"/>
  <c r="V39" i="5"/>
  <c r="W39" i="5"/>
  <c r="V40" i="5"/>
  <c r="W40" i="5"/>
  <c r="V41" i="5"/>
  <c r="W41" i="5"/>
  <c r="V42" i="5"/>
  <c r="W42" i="5"/>
  <c r="V43" i="5"/>
  <c r="W43" i="5"/>
  <c r="V44" i="5"/>
  <c r="W44" i="5"/>
  <c r="V45" i="5"/>
  <c r="W45" i="5"/>
  <c r="V46" i="5"/>
  <c r="W46" i="5"/>
  <c r="V47" i="5"/>
  <c r="W47" i="5"/>
  <c r="V48" i="5"/>
  <c r="W48" i="5"/>
  <c r="V49" i="5"/>
  <c r="W49" i="5"/>
  <c r="V50" i="5"/>
  <c r="W50" i="5"/>
  <c r="V51" i="5"/>
  <c r="W51" i="5"/>
  <c r="V36" i="5"/>
  <c r="W30" i="5"/>
  <c r="W31" i="5"/>
  <c r="W32" i="5"/>
  <c r="W33" i="5"/>
  <c r="W34" i="5"/>
  <c r="W35" i="5"/>
  <c r="W36" i="5"/>
  <c r="W29" i="5"/>
  <c r="W24" i="5"/>
  <c r="W25" i="5"/>
  <c r="W23" i="5"/>
  <c r="W20" i="5"/>
  <c r="W21" i="5"/>
  <c r="W14" i="5"/>
  <c r="W15" i="5"/>
  <c r="W16" i="5"/>
  <c r="W17" i="5"/>
  <c r="W13" i="5"/>
  <c r="S39" i="5"/>
  <c r="T39" i="5"/>
  <c r="S40" i="5"/>
  <c r="T40" i="5"/>
  <c r="S41" i="5"/>
  <c r="T41" i="5"/>
  <c r="S42" i="5"/>
  <c r="T42" i="5"/>
  <c r="S43" i="5"/>
  <c r="T43" i="5"/>
  <c r="S44" i="5"/>
  <c r="T44" i="5"/>
  <c r="S45" i="5"/>
  <c r="T45" i="5"/>
  <c r="S46" i="5"/>
  <c r="T46" i="5"/>
  <c r="S47" i="5"/>
  <c r="T47" i="5"/>
  <c r="S48" i="5"/>
  <c r="T48" i="5"/>
  <c r="S49" i="5"/>
  <c r="T49" i="5"/>
  <c r="S50" i="5"/>
  <c r="T50" i="5"/>
  <c r="S51" i="5"/>
  <c r="T51" i="5"/>
  <c r="T38" i="5"/>
  <c r="S38" i="5"/>
  <c r="T24" i="5"/>
  <c r="T25" i="5"/>
  <c r="T23" i="5"/>
  <c r="T21" i="5"/>
  <c r="T20" i="5"/>
  <c r="T14" i="5"/>
  <c r="T15" i="5"/>
  <c r="T16" i="5"/>
  <c r="T17" i="5"/>
  <c r="T13" i="5"/>
  <c r="P22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N40" i="5"/>
  <c r="N41" i="5"/>
  <c r="N42" i="5"/>
  <c r="N39" i="5"/>
  <c r="M39" i="5"/>
  <c r="M37" i="5" s="1"/>
  <c r="M40" i="5"/>
  <c r="M41" i="5"/>
  <c r="M42" i="5"/>
  <c r="M24" i="5"/>
  <c r="L24" i="5" s="1"/>
  <c r="M25" i="5"/>
  <c r="M26" i="5"/>
  <c r="L26" i="5" s="1"/>
  <c r="M27" i="5"/>
  <c r="M28" i="5"/>
  <c r="L28" i="5" s="1"/>
  <c r="M29" i="5"/>
  <c r="M30" i="5"/>
  <c r="L30" i="5" s="1"/>
  <c r="M31" i="5"/>
  <c r="M32" i="5"/>
  <c r="L32" i="5" s="1"/>
  <c r="M33" i="5"/>
  <c r="M34" i="5"/>
  <c r="L34" i="5" s="1"/>
  <c r="M35" i="5"/>
  <c r="M36" i="5"/>
  <c r="L36" i="5" s="1"/>
  <c r="M23" i="5"/>
  <c r="M38" i="5"/>
  <c r="L25" i="5"/>
  <c r="L27" i="5"/>
  <c r="L29" i="5"/>
  <c r="L31" i="5"/>
  <c r="L33" i="5"/>
  <c r="L35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K40" i="5"/>
  <c r="I40" i="5" s="1"/>
  <c r="K41" i="5"/>
  <c r="K42" i="5"/>
  <c r="I42" i="5" s="1"/>
  <c r="K43" i="5"/>
  <c r="K44" i="5"/>
  <c r="I44" i="5" s="1"/>
  <c r="K45" i="5"/>
  <c r="K46" i="5"/>
  <c r="I46" i="5" s="1"/>
  <c r="K47" i="5"/>
  <c r="K48" i="5"/>
  <c r="I48" i="5" s="1"/>
  <c r="K49" i="5"/>
  <c r="K50" i="5"/>
  <c r="I50" i="5" s="1"/>
  <c r="K51" i="5"/>
  <c r="K39" i="5"/>
  <c r="I39" i="5" s="1"/>
  <c r="K29" i="5"/>
  <c r="I29" i="5" s="1"/>
  <c r="K30" i="5"/>
  <c r="K31" i="5"/>
  <c r="K32" i="5"/>
  <c r="K33" i="5"/>
  <c r="I33" i="5" s="1"/>
  <c r="K34" i="5"/>
  <c r="K35" i="5"/>
  <c r="K36" i="5"/>
  <c r="K28" i="5"/>
  <c r="K24" i="5"/>
  <c r="K25" i="5"/>
  <c r="K26" i="5"/>
  <c r="K23" i="5"/>
  <c r="J40" i="5"/>
  <c r="J41" i="5"/>
  <c r="J42" i="5"/>
  <c r="J43" i="5"/>
  <c r="J44" i="5"/>
  <c r="J45" i="5"/>
  <c r="J46" i="5"/>
  <c r="J47" i="5"/>
  <c r="J48" i="5"/>
  <c r="J49" i="5"/>
  <c r="J50" i="5"/>
  <c r="J51" i="5"/>
  <c r="J39" i="5"/>
  <c r="J24" i="5"/>
  <c r="J25" i="5"/>
  <c r="J26" i="5"/>
  <c r="J27" i="5"/>
  <c r="J28" i="5"/>
  <c r="J29" i="5"/>
  <c r="J30" i="5"/>
  <c r="I30" i="5" s="1"/>
  <c r="J31" i="5"/>
  <c r="J32" i="5"/>
  <c r="I32" i="5" s="1"/>
  <c r="J33" i="5"/>
  <c r="J34" i="5"/>
  <c r="I34" i="5" s="1"/>
  <c r="J35" i="5"/>
  <c r="J36" i="5"/>
  <c r="I36" i="5" s="1"/>
  <c r="J23" i="5"/>
  <c r="I41" i="5"/>
  <c r="I43" i="5"/>
  <c r="I45" i="5"/>
  <c r="I47" i="5"/>
  <c r="I49" i="5"/>
  <c r="I51" i="5"/>
  <c r="I25" i="5"/>
  <c r="I27" i="5"/>
  <c r="I31" i="5"/>
  <c r="I35" i="5"/>
  <c r="I23" i="5"/>
  <c r="N15" i="5"/>
  <c r="N16" i="5"/>
  <c r="N17" i="5"/>
  <c r="N18" i="5"/>
  <c r="L18" i="5" s="1"/>
  <c r="N19" i="5"/>
  <c r="N20" i="5"/>
  <c r="N21" i="5"/>
  <c r="N14" i="5"/>
  <c r="L13" i="5"/>
  <c r="L14" i="5"/>
  <c r="L15" i="5"/>
  <c r="L16" i="5"/>
  <c r="L17" i="5"/>
  <c r="L19" i="5"/>
  <c r="L20" i="5"/>
  <c r="L21" i="5"/>
  <c r="M13" i="5"/>
  <c r="M14" i="5"/>
  <c r="M15" i="5"/>
  <c r="M16" i="5"/>
  <c r="M17" i="5"/>
  <c r="M18" i="5"/>
  <c r="M19" i="5"/>
  <c r="M20" i="5"/>
  <c r="M21" i="5"/>
  <c r="M12" i="5"/>
  <c r="K20" i="5"/>
  <c r="K14" i="5"/>
  <c r="K15" i="5"/>
  <c r="K16" i="5"/>
  <c r="K17" i="5"/>
  <c r="I17" i="5" s="1"/>
  <c r="K18" i="5"/>
  <c r="K19" i="5"/>
  <c r="K21" i="5"/>
  <c r="K13" i="5"/>
  <c r="K11" i="5" s="1"/>
  <c r="C52" i="5"/>
  <c r="D11" i="5"/>
  <c r="E11" i="5"/>
  <c r="F11" i="5"/>
  <c r="G11" i="5"/>
  <c r="H11" i="5"/>
  <c r="J11" i="5"/>
  <c r="M11" i="5"/>
  <c r="C11" i="5"/>
  <c r="I14" i="5"/>
  <c r="I15" i="5"/>
  <c r="I16" i="5"/>
  <c r="I18" i="5"/>
  <c r="I19" i="5"/>
  <c r="I20" i="5"/>
  <c r="I21" i="5"/>
  <c r="J13" i="5"/>
  <c r="J14" i="5"/>
  <c r="J15" i="5"/>
  <c r="J16" i="5"/>
  <c r="J17" i="5"/>
  <c r="J18" i="5"/>
  <c r="J19" i="5"/>
  <c r="J20" i="5"/>
  <c r="J21" i="5"/>
  <c r="J12" i="5"/>
  <c r="H29" i="5"/>
  <c r="F29" i="5" s="1"/>
  <c r="H30" i="5"/>
  <c r="H31" i="5"/>
  <c r="F31" i="5" s="1"/>
  <c r="H32" i="5"/>
  <c r="H33" i="5"/>
  <c r="F33" i="5" s="1"/>
  <c r="H34" i="5"/>
  <c r="H35" i="5"/>
  <c r="F35" i="5" s="1"/>
  <c r="H36" i="5"/>
  <c r="H28" i="5"/>
  <c r="H24" i="5"/>
  <c r="G22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23" i="5"/>
  <c r="H15" i="5"/>
  <c r="H16" i="5"/>
  <c r="H17" i="5"/>
  <c r="H18" i="5"/>
  <c r="H19" i="5"/>
  <c r="H20" i="5"/>
  <c r="H21" i="5"/>
  <c r="H14" i="5"/>
  <c r="G13" i="5"/>
  <c r="F13" i="5" s="1"/>
  <c r="G14" i="5"/>
  <c r="G15" i="5"/>
  <c r="F15" i="5" s="1"/>
  <c r="G16" i="5"/>
  <c r="G17" i="5"/>
  <c r="F17" i="5" s="1"/>
  <c r="G18" i="5"/>
  <c r="G19" i="5"/>
  <c r="F19" i="5" s="1"/>
  <c r="G20" i="5"/>
  <c r="G21" i="5"/>
  <c r="F21" i="5" s="1"/>
  <c r="G12" i="5"/>
  <c r="E37" i="5"/>
  <c r="F37" i="5"/>
  <c r="G37" i="5"/>
  <c r="H37" i="5"/>
  <c r="J37" i="5"/>
  <c r="D37" i="5"/>
  <c r="C22" i="5"/>
  <c r="E22" i="5"/>
  <c r="H22" i="5"/>
  <c r="J22" i="5"/>
  <c r="D22" i="5"/>
  <c r="F14" i="5"/>
  <c r="F16" i="5"/>
  <c r="F18" i="5"/>
  <c r="F20" i="5"/>
  <c r="F12" i="5"/>
  <c r="F24" i="5"/>
  <c r="F25" i="5"/>
  <c r="F26" i="5"/>
  <c r="F27" i="5"/>
  <c r="F28" i="5"/>
  <c r="F30" i="5"/>
  <c r="F32" i="5"/>
  <c r="F34" i="5"/>
  <c r="F36" i="5"/>
  <c r="F23" i="5"/>
  <c r="G42" i="5"/>
  <c r="H42" i="5"/>
  <c r="G43" i="5"/>
  <c r="F43" i="5" s="1"/>
  <c r="H43" i="5"/>
  <c r="G44" i="5"/>
  <c r="H44" i="5"/>
  <c r="G45" i="5"/>
  <c r="F45" i="5" s="1"/>
  <c r="H45" i="5"/>
  <c r="G46" i="5"/>
  <c r="H46" i="5"/>
  <c r="G47" i="5"/>
  <c r="F47" i="5" s="1"/>
  <c r="H47" i="5"/>
  <c r="G48" i="5"/>
  <c r="H48" i="5"/>
  <c r="G49" i="5"/>
  <c r="F49" i="5" s="1"/>
  <c r="H49" i="5"/>
  <c r="G50" i="5"/>
  <c r="H50" i="5"/>
  <c r="G51" i="5"/>
  <c r="F51" i="5" s="1"/>
  <c r="H51" i="5"/>
  <c r="G39" i="5"/>
  <c r="H39" i="5"/>
  <c r="G40" i="5"/>
  <c r="F40" i="5" s="1"/>
  <c r="H40" i="5"/>
  <c r="G41" i="5"/>
  <c r="H41" i="5"/>
  <c r="F42" i="5"/>
  <c r="H38" i="5"/>
  <c r="F38" i="5" s="1"/>
  <c r="G38" i="5"/>
  <c r="F39" i="5"/>
  <c r="F41" i="5"/>
  <c r="F44" i="5"/>
  <c r="F46" i="5"/>
  <c r="F48" i="5"/>
  <c r="F50" i="5"/>
  <c r="C20" i="5"/>
  <c r="C21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14" i="5"/>
  <c r="C15" i="5"/>
  <c r="C16" i="5"/>
  <c r="C17" i="5"/>
  <c r="C18" i="5"/>
  <c r="C19" i="5"/>
  <c r="M22" i="5" l="1"/>
  <c r="I37" i="5"/>
  <c r="K37" i="5"/>
  <c r="I28" i="5"/>
  <c r="K22" i="5"/>
  <c r="I26" i="5"/>
  <c r="I22" i="5" s="1"/>
  <c r="I24" i="5"/>
  <c r="I13" i="5"/>
  <c r="I11" i="5" s="1"/>
  <c r="F22" i="5"/>
  <c r="Y42" i="5" l="1"/>
  <c r="Z42" i="5"/>
  <c r="X42" i="5" s="1"/>
  <c r="U42" i="5"/>
  <c r="R42" i="5"/>
  <c r="O42" i="5"/>
  <c r="Y41" i="5"/>
  <c r="X41" i="5" s="1"/>
  <c r="Z41" i="5"/>
  <c r="U41" i="5"/>
  <c r="R41" i="5"/>
  <c r="O41" i="5"/>
  <c r="Y40" i="5"/>
  <c r="Z40" i="5"/>
  <c r="X40" i="5"/>
  <c r="U40" i="5"/>
  <c r="R40" i="5"/>
  <c r="O40" i="5"/>
  <c r="V34" i="5"/>
  <c r="Y34" i="5" s="1"/>
  <c r="X34" i="5" s="1"/>
  <c r="Z34" i="5"/>
  <c r="S34" i="5"/>
  <c r="R34" i="5" s="1"/>
  <c r="O34" i="5"/>
  <c r="Y17" i="5"/>
  <c r="S32" i="5"/>
  <c r="V32" i="5" s="1"/>
  <c r="U32" i="5" s="1"/>
  <c r="S33" i="5"/>
  <c r="R33" i="5" s="1"/>
  <c r="S35" i="5"/>
  <c r="V35" i="5" s="1"/>
  <c r="U35" i="5" s="1"/>
  <c r="S36" i="5"/>
  <c r="S24" i="5"/>
  <c r="R24" i="5" s="1"/>
  <c r="S25" i="5"/>
  <c r="V25" i="5" s="1"/>
  <c r="Y25" i="5" s="1"/>
  <c r="S26" i="5"/>
  <c r="V26" i="5" s="1"/>
  <c r="S27" i="5"/>
  <c r="V27" i="5" s="1"/>
  <c r="Y27" i="5" s="1"/>
  <c r="S28" i="5"/>
  <c r="R28" i="5" s="1"/>
  <c r="S29" i="5"/>
  <c r="R29" i="5" s="1"/>
  <c r="S30" i="5"/>
  <c r="V30" i="5" s="1"/>
  <c r="Y30" i="5" s="1"/>
  <c r="S31" i="5"/>
  <c r="S23" i="5"/>
  <c r="S14" i="5"/>
  <c r="V14" i="5" s="1"/>
  <c r="S15" i="5"/>
  <c r="R15" i="5" s="1"/>
  <c r="S16" i="5"/>
  <c r="V16" i="5" s="1"/>
  <c r="S17" i="5"/>
  <c r="S18" i="5"/>
  <c r="V18" i="5" s="1"/>
  <c r="Y18" i="5" s="1"/>
  <c r="S19" i="5"/>
  <c r="V19" i="5" s="1"/>
  <c r="Y19" i="5" s="1"/>
  <c r="S20" i="5"/>
  <c r="V20" i="5" s="1"/>
  <c r="Y20" i="5" s="1"/>
  <c r="S21" i="5"/>
  <c r="S13" i="5"/>
  <c r="V13" i="5" s="1"/>
  <c r="Y13" i="5" s="1"/>
  <c r="V31" i="5"/>
  <c r="Y31" i="5" s="1"/>
  <c r="V23" i="5"/>
  <c r="Y23" i="5" s="1"/>
  <c r="V17" i="5"/>
  <c r="U17" i="5" s="1"/>
  <c r="V21" i="5"/>
  <c r="Y21" i="5" s="1"/>
  <c r="W12" i="5"/>
  <c r="Z29" i="5"/>
  <c r="Z24" i="5"/>
  <c r="O24" i="5"/>
  <c r="Z17" i="5"/>
  <c r="R17" i="5"/>
  <c r="O17" i="5"/>
  <c r="Z12" i="5"/>
  <c r="Z14" i="5"/>
  <c r="Z15" i="5"/>
  <c r="O15" i="5"/>
  <c r="R14" i="5"/>
  <c r="O14" i="5"/>
  <c r="Z39" i="5"/>
  <c r="Y39" i="5"/>
  <c r="U39" i="5"/>
  <c r="R39" i="5"/>
  <c r="O39" i="5"/>
  <c r="Z43" i="5"/>
  <c r="Z45" i="5"/>
  <c r="Z46" i="5"/>
  <c r="Z47" i="5"/>
  <c r="Z48" i="5"/>
  <c r="Z49" i="5"/>
  <c r="Z50" i="5"/>
  <c r="Z51" i="5"/>
  <c r="Y43" i="5"/>
  <c r="Y44" i="5"/>
  <c r="Y45" i="5"/>
  <c r="Y46" i="5"/>
  <c r="Y47" i="5"/>
  <c r="Y48" i="5"/>
  <c r="Y49" i="5"/>
  <c r="Y50" i="5"/>
  <c r="Y51" i="5"/>
  <c r="Z23" i="5"/>
  <c r="Z25" i="5"/>
  <c r="Z28" i="5"/>
  <c r="Z30" i="5"/>
  <c r="Z31" i="5"/>
  <c r="Z32" i="5"/>
  <c r="Z33" i="5"/>
  <c r="Z35" i="5"/>
  <c r="Z36" i="5"/>
  <c r="Y33" i="5"/>
  <c r="Y36" i="5"/>
  <c r="Z13" i="5"/>
  <c r="Z16" i="5"/>
  <c r="Z20" i="5"/>
  <c r="Z21" i="5"/>
  <c r="W19" i="5"/>
  <c r="W18" i="5"/>
  <c r="O28" i="5"/>
  <c r="O29" i="5"/>
  <c r="U33" i="5"/>
  <c r="O33" i="5"/>
  <c r="T26" i="5"/>
  <c r="T27" i="5"/>
  <c r="W27" i="5" s="1"/>
  <c r="T12" i="5"/>
  <c r="S12" i="5"/>
  <c r="V12" i="5" s="1"/>
  <c r="Y12" i="5" s="1"/>
  <c r="O32" i="5"/>
  <c r="R18" i="5"/>
  <c r="R19" i="5"/>
  <c r="O18" i="5"/>
  <c r="Q22" i="5"/>
  <c r="R31" i="5"/>
  <c r="O31" i="5"/>
  <c r="O16" i="5"/>
  <c r="R35" i="5"/>
  <c r="O35" i="5"/>
  <c r="O30" i="5"/>
  <c r="X39" i="5" l="1"/>
  <c r="T22" i="5"/>
  <c r="V15" i="5"/>
  <c r="U34" i="5"/>
  <c r="V29" i="5"/>
  <c r="U31" i="5"/>
  <c r="Y35" i="5"/>
  <c r="X35" i="5" s="1"/>
  <c r="V24" i="5"/>
  <c r="R30" i="5"/>
  <c r="V28" i="5"/>
  <c r="U28" i="5" s="1"/>
  <c r="R32" i="5"/>
  <c r="Y26" i="5"/>
  <c r="U14" i="5"/>
  <c r="Y14" i="5"/>
  <c r="X14" i="5" s="1"/>
  <c r="U16" i="5"/>
  <c r="Y16" i="5"/>
  <c r="X16" i="5" s="1"/>
  <c r="R16" i="5"/>
  <c r="U19" i="5"/>
  <c r="U30" i="5"/>
  <c r="U18" i="5"/>
  <c r="X17" i="5"/>
  <c r="W22" i="5"/>
  <c r="Z27" i="5"/>
  <c r="W26" i="5"/>
  <c r="Z26" i="5" s="1"/>
  <c r="Z22" i="5" s="1"/>
  <c r="Y32" i="5"/>
  <c r="Z19" i="5"/>
  <c r="X19" i="5" s="1"/>
  <c r="Z18" i="5"/>
  <c r="X18" i="5" s="1"/>
  <c r="X33" i="5"/>
  <c r="X31" i="5"/>
  <c r="X30" i="5"/>
  <c r="N51" i="5"/>
  <c r="N50" i="5"/>
  <c r="N49" i="5"/>
  <c r="N48" i="5"/>
  <c r="N47" i="5"/>
  <c r="N46" i="5"/>
  <c r="N45" i="5"/>
  <c r="N44" i="5"/>
  <c r="N43" i="5"/>
  <c r="N38" i="5"/>
  <c r="N23" i="5"/>
  <c r="M52" i="5"/>
  <c r="N13" i="5"/>
  <c r="N11" i="5" s="1"/>
  <c r="N12" i="5"/>
  <c r="Y15" i="5" l="1"/>
  <c r="X15" i="5" s="1"/>
  <c r="U15" i="5"/>
  <c r="N37" i="5"/>
  <c r="N22" i="5"/>
  <c r="Y28" i="5"/>
  <c r="V22" i="5"/>
  <c r="U29" i="5"/>
  <c r="Y29" i="5"/>
  <c r="X29" i="5" s="1"/>
  <c r="U24" i="5"/>
  <c r="Y24" i="5"/>
  <c r="X24" i="5" s="1"/>
  <c r="Z11" i="5"/>
  <c r="X28" i="5"/>
  <c r="Y11" i="5"/>
  <c r="X32" i="5"/>
  <c r="Z14" i="3"/>
  <c r="Y22" i="5" l="1"/>
  <c r="Y14" i="3" s="1"/>
  <c r="X14" i="3" s="1"/>
  <c r="N52" i="5"/>
  <c r="V14" i="3"/>
  <c r="W14" i="3"/>
  <c r="W38" i="5"/>
  <c r="Z38" i="5" s="1"/>
  <c r="L14" i="1" l="1"/>
  <c r="L17" i="1" s="1"/>
  <c r="H16" i="3" l="1"/>
  <c r="G16" i="3"/>
  <c r="F16" i="3"/>
  <c r="H14" i="3"/>
  <c r="H17" i="3" s="1"/>
  <c r="G14" i="3"/>
  <c r="G17" i="3" s="1"/>
  <c r="F14" i="3"/>
  <c r="F17" i="3" s="1"/>
  <c r="H11" i="3"/>
  <c r="G11" i="3"/>
  <c r="F11" i="3"/>
  <c r="Z44" i="5" l="1"/>
  <c r="Z37" i="5" s="1"/>
  <c r="Z52" i="5" s="1"/>
  <c r="V38" i="5"/>
  <c r="Y38" i="5" s="1"/>
  <c r="Y37" i="5" s="1"/>
  <c r="Y52" i="5" s="1"/>
  <c r="O43" i="5" l="1"/>
  <c r="O44" i="5"/>
  <c r="O45" i="5"/>
  <c r="O46" i="5"/>
  <c r="O47" i="5"/>
  <c r="O48" i="5"/>
  <c r="O49" i="5"/>
  <c r="O50" i="5"/>
  <c r="O51" i="5"/>
  <c r="Q14" i="3"/>
  <c r="O38" i="5"/>
  <c r="P37" i="5"/>
  <c r="Q37" i="5"/>
  <c r="S37" i="5"/>
  <c r="T37" i="5"/>
  <c r="V37" i="5"/>
  <c r="W37" i="5"/>
  <c r="C12" i="5"/>
  <c r="C13" i="5"/>
  <c r="I38" i="5"/>
  <c r="C37" i="5"/>
  <c r="M14" i="3"/>
  <c r="J14" i="3"/>
  <c r="E14" i="3"/>
  <c r="N11" i="3"/>
  <c r="I12" i="5"/>
  <c r="M11" i="3"/>
  <c r="J11" i="3"/>
  <c r="E11" i="3"/>
  <c r="D11" i="3"/>
  <c r="D14" i="3" l="1"/>
  <c r="D52" i="5"/>
  <c r="K14" i="3"/>
  <c r="K52" i="5"/>
  <c r="C10" i="5"/>
  <c r="O37" i="5"/>
  <c r="K11" i="3"/>
  <c r="C14" i="3"/>
  <c r="E52" i="5"/>
  <c r="J52" i="5"/>
  <c r="L12" i="5"/>
  <c r="L23" i="5"/>
  <c r="L38" i="5"/>
  <c r="L37" i="5" s="1"/>
  <c r="X50" i="5"/>
  <c r="U50" i="5"/>
  <c r="R50" i="5"/>
  <c r="U51" i="5"/>
  <c r="X51" i="5"/>
  <c r="R51" i="5"/>
  <c r="X20" i="5"/>
  <c r="X21" i="5"/>
  <c r="X23" i="5"/>
  <c r="X36" i="5"/>
  <c r="U20" i="5"/>
  <c r="U21" i="5"/>
  <c r="U23" i="5"/>
  <c r="U36" i="5"/>
  <c r="R20" i="5"/>
  <c r="R21" i="5"/>
  <c r="R23" i="5"/>
  <c r="R26" i="5"/>
  <c r="R27" i="5"/>
  <c r="R36" i="5"/>
  <c r="O13" i="5"/>
  <c r="O19" i="5"/>
  <c r="O20" i="5"/>
  <c r="O21" i="5"/>
  <c r="O23" i="5"/>
  <c r="O26" i="5"/>
  <c r="O27" i="5"/>
  <c r="O36" i="5"/>
  <c r="L22" i="5" l="1"/>
  <c r="L11" i="5"/>
  <c r="L11" i="3" s="1"/>
  <c r="I11" i="3"/>
  <c r="C9" i="5"/>
  <c r="AB9" i="5" s="1"/>
  <c r="AB10" i="5"/>
  <c r="R22" i="5"/>
  <c r="I14" i="3"/>
  <c r="U13" i="5"/>
  <c r="R13" i="5"/>
  <c r="I52" i="5" l="1"/>
  <c r="L52" i="5"/>
  <c r="L14" i="3"/>
  <c r="N14" i="3"/>
  <c r="X13" i="5"/>
  <c r="U27" i="5"/>
  <c r="R49" i="5"/>
  <c r="R47" i="5"/>
  <c r="S22" i="5"/>
  <c r="P11" i="5"/>
  <c r="S11" i="5"/>
  <c r="V11" i="5"/>
  <c r="V52" i="5" s="1"/>
  <c r="AB14" i="3" l="1"/>
  <c r="AA14" i="3"/>
  <c r="T14" i="3"/>
  <c r="S52" i="5"/>
  <c r="P52" i="5"/>
  <c r="O25" i="5"/>
  <c r="O22" i="5" s="1"/>
  <c r="Q11" i="5"/>
  <c r="O12" i="5"/>
  <c r="R48" i="5"/>
  <c r="X27" i="5"/>
  <c r="U26" i="5"/>
  <c r="R45" i="5"/>
  <c r="R12" i="5"/>
  <c r="R11" i="5" s="1"/>
  <c r="Q16" i="3"/>
  <c r="C11" i="3"/>
  <c r="D16" i="3"/>
  <c r="E16" i="3"/>
  <c r="I16" i="3"/>
  <c r="J16" i="3"/>
  <c r="K16" i="3"/>
  <c r="L16" i="3"/>
  <c r="L17" i="3" s="1"/>
  <c r="M16" i="3"/>
  <c r="N16" i="3"/>
  <c r="P16" i="3"/>
  <c r="S16" i="3"/>
  <c r="V16" i="3"/>
  <c r="Y16" i="3"/>
  <c r="S14" i="3"/>
  <c r="P11" i="3"/>
  <c r="S11" i="3"/>
  <c r="V11" i="3"/>
  <c r="Y11" i="3"/>
  <c r="R14" i="3" l="1"/>
  <c r="O14" i="3"/>
  <c r="Q11" i="3"/>
  <c r="Q17" i="3" s="1"/>
  <c r="Q52" i="5"/>
  <c r="O52" i="5" s="1"/>
  <c r="U25" i="5"/>
  <c r="U22" i="5" s="1"/>
  <c r="R11" i="3"/>
  <c r="O11" i="5"/>
  <c r="R38" i="5"/>
  <c r="R44" i="5"/>
  <c r="U49" i="5"/>
  <c r="X49" i="5"/>
  <c r="U38" i="5"/>
  <c r="U47" i="5"/>
  <c r="X47" i="5"/>
  <c r="X44" i="5"/>
  <c r="U44" i="5"/>
  <c r="X48" i="5"/>
  <c r="U48" i="5"/>
  <c r="R46" i="5"/>
  <c r="X45" i="5"/>
  <c r="U45" i="5"/>
  <c r="X26" i="5"/>
  <c r="R43" i="5"/>
  <c r="T11" i="5"/>
  <c r="T52" i="5" s="1"/>
  <c r="U12" i="5"/>
  <c r="U11" i="5" s="1"/>
  <c r="P17" i="3"/>
  <c r="D17" i="3"/>
  <c r="Y17" i="3"/>
  <c r="M17" i="3"/>
  <c r="I17" i="3"/>
  <c r="E17" i="3"/>
  <c r="V17" i="3"/>
  <c r="N17" i="3"/>
  <c r="J17" i="3"/>
  <c r="S17" i="3"/>
  <c r="K17" i="3"/>
  <c r="C16" i="3"/>
  <c r="T11" i="3" l="1"/>
  <c r="R37" i="5"/>
  <c r="R16" i="3" s="1"/>
  <c r="U14" i="3"/>
  <c r="U11" i="3"/>
  <c r="O16" i="3"/>
  <c r="O11" i="3"/>
  <c r="W16" i="3"/>
  <c r="X46" i="5"/>
  <c r="U46" i="5"/>
  <c r="X38" i="5"/>
  <c r="X43" i="5"/>
  <c r="U43" i="5"/>
  <c r="X25" i="5"/>
  <c r="X22" i="5" s="1"/>
  <c r="T16" i="3"/>
  <c r="W11" i="5"/>
  <c r="W52" i="5" s="1"/>
  <c r="C17" i="3"/>
  <c r="N26" i="4"/>
  <c r="N27" i="4"/>
  <c r="N28" i="4"/>
  <c r="N29" i="4"/>
  <c r="N30" i="4"/>
  <c r="N31" i="4"/>
  <c r="N32" i="4"/>
  <c r="N33" i="4"/>
  <c r="N25" i="4"/>
  <c r="L25" i="4" s="1"/>
  <c r="I25" i="4"/>
  <c r="H25" i="4"/>
  <c r="H26" i="4"/>
  <c r="H27" i="4"/>
  <c r="H28" i="4"/>
  <c r="H29" i="4"/>
  <c r="H30" i="4"/>
  <c r="H31" i="4"/>
  <c r="H32" i="4"/>
  <c r="H33" i="4"/>
  <c r="J33" i="4"/>
  <c r="M33" i="4" s="1"/>
  <c r="L33" i="4" s="1"/>
  <c r="J32" i="4"/>
  <c r="I32" i="4" s="1"/>
  <c r="J31" i="4"/>
  <c r="I31" i="4" s="1"/>
  <c r="J30" i="4"/>
  <c r="M30" i="4" s="1"/>
  <c r="L30" i="4" s="1"/>
  <c r="J29" i="4"/>
  <c r="I29" i="4" s="1"/>
  <c r="J28" i="4"/>
  <c r="I28" i="4" s="1"/>
  <c r="J27" i="4"/>
  <c r="I27" i="4" s="1"/>
  <c r="J26" i="4"/>
  <c r="M26" i="4" s="1"/>
  <c r="L26" i="4" s="1"/>
  <c r="N24" i="4"/>
  <c r="L24" i="4" s="1"/>
  <c r="H24" i="4"/>
  <c r="F24" i="4" s="1"/>
  <c r="F23" i="4" s="1"/>
  <c r="F16" i="1" s="1"/>
  <c r="D23" i="4"/>
  <c r="D16" i="1" s="1"/>
  <c r="E23" i="4"/>
  <c r="E16" i="1" s="1"/>
  <c r="G23" i="4"/>
  <c r="G16" i="1" s="1"/>
  <c r="C24" i="4"/>
  <c r="C23" i="4" s="1"/>
  <c r="C16" i="1" s="1"/>
  <c r="K12" i="4"/>
  <c r="I12" i="4" s="1"/>
  <c r="N14" i="4"/>
  <c r="L14" i="4" s="1"/>
  <c r="D11" i="4"/>
  <c r="D11" i="1" s="1"/>
  <c r="E11" i="4"/>
  <c r="E11" i="1" s="1"/>
  <c r="G11" i="4"/>
  <c r="G11" i="1" s="1"/>
  <c r="J11" i="4"/>
  <c r="J11" i="1" s="1"/>
  <c r="M11" i="4"/>
  <c r="M11" i="1" s="1"/>
  <c r="I14" i="4"/>
  <c r="F14" i="4"/>
  <c r="C14" i="4"/>
  <c r="K13" i="4"/>
  <c r="C13" i="4"/>
  <c r="H11" i="4"/>
  <c r="H11" i="1" s="1"/>
  <c r="F12" i="4"/>
  <c r="C12" i="4"/>
  <c r="H18" i="4"/>
  <c r="K18" i="4" s="1"/>
  <c r="H19" i="4"/>
  <c r="H21" i="4"/>
  <c r="K21" i="4" s="1"/>
  <c r="N20" i="4"/>
  <c r="L20" i="4" s="1"/>
  <c r="I20" i="4"/>
  <c r="F20" i="4"/>
  <c r="C20" i="4"/>
  <c r="D17" i="4"/>
  <c r="D14" i="1" s="1"/>
  <c r="E17" i="4"/>
  <c r="E14" i="1" s="1"/>
  <c r="G17" i="4"/>
  <c r="G14" i="1" s="1"/>
  <c r="J17" i="4"/>
  <c r="J14" i="1" s="1"/>
  <c r="M17" i="4"/>
  <c r="M14" i="1" s="1"/>
  <c r="C18" i="4"/>
  <c r="C21" i="4"/>
  <c r="U37" i="5" l="1"/>
  <c r="U16" i="3" s="1"/>
  <c r="U17" i="3" s="1"/>
  <c r="T17" i="3"/>
  <c r="X37" i="5"/>
  <c r="R52" i="5"/>
  <c r="R17" i="3"/>
  <c r="O17" i="3"/>
  <c r="M32" i="4"/>
  <c r="L32" i="4" s="1"/>
  <c r="M28" i="4"/>
  <c r="L28" i="4" s="1"/>
  <c r="M29" i="4"/>
  <c r="L29" i="4" s="1"/>
  <c r="L23" i="4" s="1"/>
  <c r="I33" i="4"/>
  <c r="M31" i="4"/>
  <c r="L31" i="4" s="1"/>
  <c r="M27" i="4"/>
  <c r="L27" i="4" s="1"/>
  <c r="I30" i="4"/>
  <c r="I26" i="4"/>
  <c r="J23" i="4"/>
  <c r="J34" i="4" s="1"/>
  <c r="X12" i="5"/>
  <c r="W11" i="3"/>
  <c r="W17" i="3" s="1"/>
  <c r="G34" i="4"/>
  <c r="D34" i="4"/>
  <c r="E34" i="4"/>
  <c r="N12" i="4"/>
  <c r="C11" i="4"/>
  <c r="C11" i="1" s="1"/>
  <c r="K23" i="4"/>
  <c r="H23" i="4"/>
  <c r="N23" i="4"/>
  <c r="D17" i="1"/>
  <c r="G17" i="1"/>
  <c r="I24" i="4"/>
  <c r="I23" i="4" s="1"/>
  <c r="E17" i="1"/>
  <c r="K11" i="4"/>
  <c r="K11" i="1" s="1"/>
  <c r="I13" i="4"/>
  <c r="I11" i="4" s="1"/>
  <c r="I11" i="1" s="1"/>
  <c r="N13" i="4"/>
  <c r="L13" i="4" s="1"/>
  <c r="F13" i="4"/>
  <c r="F11" i="4" s="1"/>
  <c r="F11" i="1" s="1"/>
  <c r="N18" i="4"/>
  <c r="F19" i="4"/>
  <c r="K19" i="4"/>
  <c r="C19" i="4"/>
  <c r="C17" i="4" s="1"/>
  <c r="C14" i="1" s="1"/>
  <c r="N21" i="4"/>
  <c r="L21" i="4" s="1"/>
  <c r="F21" i="4"/>
  <c r="X11" i="5" l="1"/>
  <c r="U52" i="5"/>
  <c r="AB22" i="5"/>
  <c r="AA22" i="5"/>
  <c r="AA37" i="5"/>
  <c r="AB37" i="5"/>
  <c r="J16" i="1"/>
  <c r="J17" i="1" s="1"/>
  <c r="C17" i="1"/>
  <c r="C34" i="4"/>
  <c r="M23" i="4"/>
  <c r="Z11" i="3"/>
  <c r="Z16" i="3"/>
  <c r="X16" i="3" s="1"/>
  <c r="L16" i="1"/>
  <c r="N16" i="1"/>
  <c r="I16" i="1"/>
  <c r="K16" i="1"/>
  <c r="H16" i="1"/>
  <c r="L12" i="4"/>
  <c r="L11" i="4" s="1"/>
  <c r="L11" i="1" s="1"/>
  <c r="N11" i="4"/>
  <c r="N11" i="1" s="1"/>
  <c r="N19" i="4"/>
  <c r="L19" i="4" s="1"/>
  <c r="I19" i="4"/>
  <c r="I21" i="4"/>
  <c r="AA11" i="5" l="1"/>
  <c r="AB11" i="5"/>
  <c r="X52" i="5"/>
  <c r="M16" i="1"/>
  <c r="M17" i="1" s="1"/>
  <c r="M34" i="4"/>
  <c r="Z17" i="3"/>
  <c r="X11" i="3"/>
  <c r="F18" i="4"/>
  <c r="F17" i="4" s="1"/>
  <c r="H17" i="4"/>
  <c r="N17" i="4"/>
  <c r="L18" i="4"/>
  <c r="L17" i="4" s="1"/>
  <c r="L34" i="4" s="1"/>
  <c r="I18" i="4"/>
  <c r="I17" i="4" s="1"/>
  <c r="K17" i="4"/>
  <c r="AA11" i="3" l="1"/>
  <c r="AB11" i="3"/>
  <c r="X17" i="3"/>
  <c r="AB52" i="5"/>
  <c r="N14" i="1"/>
  <c r="N17" i="1" s="1"/>
  <c r="N34" i="4"/>
  <c r="I14" i="1"/>
  <c r="I17" i="1" s="1"/>
  <c r="I34" i="4"/>
  <c r="F14" i="1"/>
  <c r="F17" i="1" s="1"/>
  <c r="F34" i="4"/>
  <c r="K14" i="1"/>
  <c r="K17" i="1" s="1"/>
  <c r="K34" i="4"/>
  <c r="H14" i="1"/>
  <c r="H17" i="1" s="1"/>
  <c r="H34" i="4"/>
  <c r="AB17" i="3" l="1"/>
  <c r="AA17" i="3"/>
</calcChain>
</file>

<file path=xl/sharedStrings.xml><?xml version="1.0" encoding="utf-8"?>
<sst xmlns="http://schemas.openxmlformats.org/spreadsheetml/2006/main" count="299" uniqueCount="111">
  <si>
    <t>тыс. руб.</t>
  </si>
  <si>
    <t>№ п/п</t>
  </si>
  <si>
    <t>% выполнения плана отчетного периода</t>
  </si>
  <si>
    <t>Отклонение от плана отчет. периода "+", "-"</t>
  </si>
  <si>
    <t>Всего</t>
  </si>
  <si>
    <t>ВЛ 10 (6) кВ</t>
  </si>
  <si>
    <t>ВЛ 0,4 кВ</t>
  </si>
  <si>
    <t>ТП, ЗТП 10 (6)/0,4 кВ</t>
  </si>
  <si>
    <t xml:space="preserve">ВЛ 35 кВ </t>
  </si>
  <si>
    <t xml:space="preserve">ВЛ 110 кВ </t>
  </si>
  <si>
    <t>ПС-35 кВ</t>
  </si>
  <si>
    <t>ПС-110 кВ</t>
  </si>
  <si>
    <t xml:space="preserve">Всего : </t>
  </si>
  <si>
    <t>в том числе</t>
  </si>
  <si>
    <t>Прочее</t>
  </si>
  <si>
    <t xml:space="preserve">План </t>
  </si>
  <si>
    <t>I квартал</t>
  </si>
  <si>
    <t>6 месяцев</t>
  </si>
  <si>
    <t>9 месяцев</t>
  </si>
  <si>
    <t>год</t>
  </si>
  <si>
    <t>хоз.способ</t>
  </si>
  <si>
    <t>подряд</t>
  </si>
  <si>
    <t>Факт</t>
  </si>
  <si>
    <t>Руководитель</t>
  </si>
  <si>
    <t>ТП</t>
  </si>
  <si>
    <t>Приложение 2</t>
  </si>
  <si>
    <t>Приложение 3</t>
  </si>
  <si>
    <t>Приложение 2.1.</t>
  </si>
  <si>
    <t>Мероприятия ремонтной программы</t>
  </si>
  <si>
    <t>Приложение 3.1</t>
  </si>
  <si>
    <t>План по ремонтной программе на 2019г.  по ООО КВЭП</t>
  </si>
  <si>
    <t>6.1</t>
  </si>
  <si>
    <t>6.2</t>
  </si>
  <si>
    <t>6.3</t>
  </si>
  <si>
    <t>6.4</t>
  </si>
  <si>
    <t>Кап. ремонт МВ-35 ПС 35/10кВ "Энка" с заменой вакуумных выключателей (2 шт.)</t>
  </si>
  <si>
    <t>Ремонт трансформатора Т-1;Т-2 ПС 35 кВ "Энка"</t>
  </si>
  <si>
    <t>Ремонт трансформатора ТСН-1 ПС 35 кВ "Энка"</t>
  </si>
  <si>
    <t>Ремонт телемеханики ПС 35 кВ "Энка"</t>
  </si>
  <si>
    <t>3.1</t>
  </si>
  <si>
    <t>3.2</t>
  </si>
  <si>
    <t>3.3</t>
  </si>
  <si>
    <t>Ремонт с заменой элементов ВЛИ-0,4 кВ "ТП-1-ЖД Кореновская 15/1 ввод "В"</t>
  </si>
  <si>
    <t>Ремонт с заменой элементов ВЛИ-0,4 кВ "ТП-1-ЖД Кореновская 15/1 ввод "А"</t>
  </si>
  <si>
    <t>8.1</t>
  </si>
  <si>
    <t>8.2</t>
  </si>
  <si>
    <t>8.3</t>
  </si>
  <si>
    <t>8.4</t>
  </si>
  <si>
    <t>8.5</t>
  </si>
  <si>
    <t xml:space="preserve">Ремонт с заменой элементов КЛ-0,4 кВ потребителей </t>
  </si>
  <si>
    <t>Установка конденсаторная</t>
  </si>
  <si>
    <t xml:space="preserve">Кабель силовой алюминиевый бронированный АВБбШв  4х50 (ож)-0,66                                     </t>
  </si>
  <si>
    <t xml:space="preserve">Кабель силовой алюминиевый бронированный АВБбШв  4х70 (мн)-1                                        </t>
  </si>
  <si>
    <t xml:space="preserve">Кабель силовой алюминиевый бронированный АВБбШв  4х70 (ож)-1                                        </t>
  </si>
  <si>
    <t xml:space="preserve">Кабель силовой алюминиевый бронированный АВБбШв  4х95 (ож)-1                                        </t>
  </si>
  <si>
    <t xml:space="preserve">Кабель силовой алюминиевый бронированный АВБбШв 4х120 (ож)-1                                        </t>
  </si>
  <si>
    <t xml:space="preserve">Кабель силовой алюминиевый бронированный АВБбШв 4х150 (мн)-1                                        </t>
  </si>
  <si>
    <t xml:space="preserve">Кабель силовой алюминиевый бронированный АВБбШв 4х185 (мн)-1                                        </t>
  </si>
  <si>
    <t xml:space="preserve">Кабель силовой алюминиевый бронированный АВБбШв 4х240 (мн)-1                                        </t>
  </si>
  <si>
    <t>8.6</t>
  </si>
  <si>
    <t>8.7</t>
  </si>
  <si>
    <t>8.8</t>
  </si>
  <si>
    <t>8.9</t>
  </si>
  <si>
    <t>8.10</t>
  </si>
  <si>
    <t>Ремонт РП-ТП</t>
  </si>
  <si>
    <t>Любич В.В.</t>
  </si>
  <si>
    <r>
      <t xml:space="preserve">Отчет по ремонтной программе за 12 месяцев  2019 г.  по </t>
    </r>
    <r>
      <rPr>
        <b/>
        <u/>
        <sz val="18"/>
        <rFont val="Times New Roman"/>
        <family val="1"/>
        <charset val="204"/>
      </rPr>
      <t xml:space="preserve"> ООО "КВЭП"</t>
    </r>
  </si>
  <si>
    <t>Отклонение от плана 12 мес 2019г  отчет. периода "+", "-"</t>
  </si>
  <si>
    <t>% выполнения  12 мес 2019 г. плана отчетного периода</t>
  </si>
  <si>
    <t>Отчет за 12 месяцев по ремонтной программе в 2019 г.  по  ООО "КВЭП"</t>
  </si>
  <si>
    <t>Ремонт КЛ от ТСН-2</t>
  </si>
  <si>
    <t>Замена счетчика Т-2 10 кВ</t>
  </si>
  <si>
    <t>Ремонт ТП-560п</t>
  </si>
  <si>
    <t>Ремонт фундамента</t>
  </si>
  <si>
    <t>Замена стабилизатора напряжения</t>
  </si>
  <si>
    <t>Монтаж испытательных коробок в цепях</t>
  </si>
  <si>
    <t>Капитальный ремонт линейных ячеек 35 кВ</t>
  </si>
  <si>
    <t>Капитальный ремонт КРУН 10 кВ</t>
  </si>
  <si>
    <t>Послегарантийный ремонт счетчиков</t>
  </si>
  <si>
    <t xml:space="preserve">Ремонт металлоконструкций и фасадов ТП </t>
  </si>
  <si>
    <t>Тех. обслуживание АВ-0,4 ТП1, ТП2</t>
  </si>
  <si>
    <t>Ремонт РП-ТП 5</t>
  </si>
  <si>
    <t xml:space="preserve">Капитальный ремонт КЛ-0,4 </t>
  </si>
  <si>
    <t>Ремонт ТП-571п</t>
  </si>
  <si>
    <t>Ремонт высоковольтных выключателей 35 кВ</t>
  </si>
  <si>
    <t>Ремонт металлоконструкций ПС 35/10 кВ</t>
  </si>
  <si>
    <t>Ремонт главной цепи контактора</t>
  </si>
  <si>
    <t>Замена аккумудяторной батареи переносного фонаря ДЭМов</t>
  </si>
  <si>
    <t>Ремонт проводки</t>
  </si>
  <si>
    <t>3.4</t>
  </si>
  <si>
    <t>3.5</t>
  </si>
  <si>
    <t>3.6</t>
  </si>
  <si>
    <t>3.7</t>
  </si>
  <si>
    <t>3.8</t>
  </si>
  <si>
    <t>4</t>
  </si>
  <si>
    <t>5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</si>
  <si>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</si>
  <si>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</si>
  <si>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</si>
  <si>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</si>
  <si>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</si>
  <si>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</si>
  <si>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</si>
  <si>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</si>
  <si>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</si>
  <si>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8.11</t>
  </si>
  <si>
    <t>8.12</t>
  </si>
  <si>
    <t>8.13</t>
  </si>
  <si>
    <t>8.14</t>
  </si>
  <si>
    <t>Исполнитель Кривнева Елена Владимировна</t>
  </si>
  <si>
    <t>(861) 258-50-71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</si>
</sst>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u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0" tint="-0.249977111117893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4" fontId="3" fillId="2" borderId="0" xfId="0" applyNumberFormat="1" applyFont="1" applyFill="1" applyBorder="1"/>
    <xf numFmtId="4" fontId="14" fillId="3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10" fontId="5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17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17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/>
    <xf numFmtId="0" fontId="13" fillId="0" borderId="0" xfId="0" applyFont="1" applyFill="1" applyBorder="1"/>
    <xf numFmtId="10" fontId="18" fillId="3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" fontId="13" fillId="2" borderId="0" xfId="0" applyNumberFormat="1" applyFont="1" applyFill="1" applyBorder="1"/>
    <xf numFmtId="0" fontId="13" fillId="2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38"/>
  <sheetViews>
    <sheetView view="pageBreakPreview" zoomScaleNormal="75" zoomScaleSheetLayoutView="10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B24" sqref="B24:N24"/>
    </sheetView>
  </sheetViews>
  <sheetFormatPr defaultRowHeight="15.75" x14ac:dyDescent="0.25"/>
  <cols>
    <col min="1" max="1" width="6.140625" style="3" customWidth="1"/>
    <col min="2" max="2" width="31.85546875" style="37" customWidth="1"/>
    <col min="3" max="3" width="12.28515625" style="5" customWidth="1"/>
    <col min="4" max="4" width="14.42578125" style="5" bestFit="1" customWidth="1"/>
    <col min="5" max="6" width="12.140625" style="5" customWidth="1"/>
    <col min="7" max="10" width="14.28515625" style="5" customWidth="1"/>
    <col min="11" max="11" width="18" style="5" customWidth="1"/>
    <col min="12" max="12" width="14.7109375" style="5" customWidth="1"/>
    <col min="13" max="13" width="14.5703125" style="5" customWidth="1"/>
    <col min="14" max="14" width="16.5703125" style="5" customWidth="1"/>
    <col min="15" max="15" width="9.28515625" style="8" customWidth="1"/>
    <col min="16" max="56" width="9.140625" style="8"/>
    <col min="57" max="205" width="9.140625" style="9"/>
    <col min="206" max="225" width="9.140625" style="8"/>
    <col min="226" max="16384" width="9.140625" style="9"/>
  </cols>
  <sheetData>
    <row r="1" spans="1:225" x14ac:dyDescent="0.25">
      <c r="M1" s="5" t="s">
        <v>25</v>
      </c>
    </row>
    <row r="3" spans="1:225" s="2" customFormat="1" ht="22.5" x14ac:dyDescent="0.3">
      <c r="A3" s="94" t="s">
        <v>30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</row>
    <row r="4" spans="1:225" x14ac:dyDescent="0.25">
      <c r="B4" s="4"/>
      <c r="N4" s="6" t="s">
        <v>0</v>
      </c>
      <c r="O4" s="7"/>
      <c r="P4" s="7"/>
      <c r="Q4" s="7"/>
    </row>
    <row r="5" spans="1:225" s="11" customFormat="1" ht="18" customHeight="1" x14ac:dyDescent="0.2">
      <c r="A5" s="95" t="s">
        <v>1</v>
      </c>
      <c r="B5" s="95"/>
      <c r="C5" s="96" t="s">
        <v>15</v>
      </c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</row>
    <row r="6" spans="1:225" s="11" customFormat="1" ht="18.75" customHeight="1" x14ac:dyDescent="0.2">
      <c r="A6" s="95"/>
      <c r="B6" s="95"/>
      <c r="C6" s="96" t="s">
        <v>16</v>
      </c>
      <c r="D6" s="96"/>
      <c r="E6" s="96"/>
      <c r="F6" s="96" t="s">
        <v>17</v>
      </c>
      <c r="G6" s="96"/>
      <c r="H6" s="96"/>
      <c r="I6" s="96" t="s">
        <v>18</v>
      </c>
      <c r="J6" s="96"/>
      <c r="K6" s="96"/>
      <c r="L6" s="96" t="s">
        <v>19</v>
      </c>
      <c r="M6" s="96"/>
      <c r="N6" s="9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</row>
    <row r="7" spans="1:225" s="11" customFormat="1" ht="18.75" customHeight="1" x14ac:dyDescent="0.2">
      <c r="A7" s="95"/>
      <c r="B7" s="95"/>
      <c r="C7" s="98" t="s">
        <v>4</v>
      </c>
      <c r="D7" s="96" t="s">
        <v>13</v>
      </c>
      <c r="E7" s="96"/>
      <c r="F7" s="98" t="s">
        <v>4</v>
      </c>
      <c r="G7" s="96" t="s">
        <v>13</v>
      </c>
      <c r="H7" s="96"/>
      <c r="I7" s="98" t="s">
        <v>4</v>
      </c>
      <c r="J7" s="96" t="s">
        <v>13</v>
      </c>
      <c r="K7" s="96"/>
      <c r="L7" s="98" t="s">
        <v>4</v>
      </c>
      <c r="M7" s="96" t="s">
        <v>13</v>
      </c>
      <c r="N7" s="96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</row>
    <row r="8" spans="1:225" s="11" customFormat="1" ht="54" customHeight="1" thickBot="1" x14ac:dyDescent="0.25">
      <c r="A8" s="95"/>
      <c r="B8" s="95"/>
      <c r="C8" s="98"/>
      <c r="D8" s="38" t="s">
        <v>20</v>
      </c>
      <c r="E8" s="38" t="s">
        <v>21</v>
      </c>
      <c r="F8" s="98"/>
      <c r="G8" s="38" t="s">
        <v>20</v>
      </c>
      <c r="H8" s="38" t="s">
        <v>21</v>
      </c>
      <c r="I8" s="98"/>
      <c r="J8" s="38" t="s">
        <v>20</v>
      </c>
      <c r="K8" s="38" t="s">
        <v>21</v>
      </c>
      <c r="L8" s="98"/>
      <c r="M8" s="38" t="s">
        <v>20</v>
      </c>
      <c r="N8" s="38" t="s">
        <v>21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</row>
    <row r="9" spans="1:225" s="14" customFormat="1" ht="26.25" customHeight="1" thickBot="1" x14ac:dyDescent="0.25">
      <c r="A9" s="15">
        <v>1</v>
      </c>
      <c r="B9" s="52" t="s">
        <v>5</v>
      </c>
      <c r="C9" s="64"/>
      <c r="D9" s="53"/>
      <c r="E9" s="53"/>
      <c r="F9" s="64"/>
      <c r="G9" s="53"/>
      <c r="H9" s="53"/>
      <c r="I9" s="64"/>
      <c r="J9" s="53"/>
      <c r="K9" s="53"/>
      <c r="L9" s="64"/>
      <c r="M9" s="53"/>
      <c r="N9" s="5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</row>
    <row r="10" spans="1:225" s="14" customFormat="1" ht="26.25" customHeight="1" thickBot="1" x14ac:dyDescent="0.25">
      <c r="A10" s="15">
        <v>2</v>
      </c>
      <c r="B10" s="52" t="s">
        <v>6</v>
      </c>
      <c r="C10" s="65"/>
      <c r="D10" s="54"/>
      <c r="E10" s="54"/>
      <c r="F10" s="65"/>
      <c r="G10" s="54"/>
      <c r="H10" s="54"/>
      <c r="I10" s="65"/>
      <c r="J10" s="54"/>
      <c r="K10" s="54"/>
      <c r="L10" s="65"/>
      <c r="M10" s="54"/>
      <c r="N10" s="54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</row>
    <row r="11" spans="1:225" s="13" customFormat="1" ht="26.25" customHeight="1" x14ac:dyDescent="0.2">
      <c r="A11" s="15">
        <v>3</v>
      </c>
      <c r="B11" s="52" t="s">
        <v>24</v>
      </c>
      <c r="C11" s="65">
        <f>'план 19г развернутый'!C11</f>
        <v>0</v>
      </c>
      <c r="D11" s="54">
        <f>'план 19г развернутый'!D11</f>
        <v>0</v>
      </c>
      <c r="E11" s="54">
        <f>'план 19г развернутый'!E11</f>
        <v>0</v>
      </c>
      <c r="F11" s="65">
        <f>'план 19г развернутый'!F11</f>
        <v>720</v>
      </c>
      <c r="G11" s="54">
        <f>'план 19г развернутый'!G11</f>
        <v>0</v>
      </c>
      <c r="H11" s="54">
        <f>'план 19г развернутый'!H11</f>
        <v>720</v>
      </c>
      <c r="I11" s="65">
        <f>'план 19г развернутый'!I11</f>
        <v>800</v>
      </c>
      <c r="J11" s="54">
        <f>'план 19г развернутый'!J11</f>
        <v>0</v>
      </c>
      <c r="K11" s="54">
        <f>'план 19г развернутый'!K11</f>
        <v>800</v>
      </c>
      <c r="L11" s="65">
        <f>'план 19г развернутый'!L11</f>
        <v>800</v>
      </c>
      <c r="M11" s="54">
        <f>'план 19г развернутый'!M11</f>
        <v>0</v>
      </c>
      <c r="N11" s="54">
        <f>'план 19г развернутый'!N11</f>
        <v>800</v>
      </c>
    </row>
    <row r="12" spans="1:225" s="10" customFormat="1" ht="26.25" customHeight="1" x14ac:dyDescent="0.2">
      <c r="A12" s="15">
        <v>4</v>
      </c>
      <c r="B12" s="52" t="s">
        <v>8</v>
      </c>
      <c r="C12" s="66"/>
      <c r="D12" s="55"/>
      <c r="E12" s="55"/>
      <c r="F12" s="66"/>
      <c r="G12" s="55"/>
      <c r="H12" s="55"/>
      <c r="I12" s="66"/>
      <c r="J12" s="55"/>
      <c r="K12" s="55"/>
      <c r="L12" s="66"/>
      <c r="M12" s="55"/>
      <c r="N12" s="55"/>
    </row>
    <row r="13" spans="1:225" s="10" customFormat="1" ht="26.25" customHeight="1" x14ac:dyDescent="0.2">
      <c r="A13" s="15">
        <v>5</v>
      </c>
      <c r="B13" s="52" t="s">
        <v>9</v>
      </c>
      <c r="C13" s="66"/>
      <c r="D13" s="55"/>
      <c r="E13" s="55"/>
      <c r="F13" s="66"/>
      <c r="G13" s="55"/>
      <c r="H13" s="55"/>
      <c r="I13" s="66"/>
      <c r="J13" s="55"/>
      <c r="K13" s="55"/>
      <c r="L13" s="66"/>
      <c r="M13" s="55"/>
      <c r="N13" s="55"/>
    </row>
    <row r="14" spans="1:225" s="17" customFormat="1" ht="26.25" customHeight="1" x14ac:dyDescent="0.2">
      <c r="A14" s="15">
        <v>6</v>
      </c>
      <c r="B14" s="56" t="s">
        <v>10</v>
      </c>
      <c r="C14" s="67">
        <f>'план 19г развернутый'!C17</f>
        <v>2240</v>
      </c>
      <c r="D14" s="57">
        <f>'план 19г развернутый'!D17</f>
        <v>0</v>
      </c>
      <c r="E14" s="57">
        <f>'план 19г развернутый'!E17</f>
        <v>2240</v>
      </c>
      <c r="F14" s="67">
        <f>'план 19г развернутый'!F17</f>
        <v>4759.6499999999996</v>
      </c>
      <c r="G14" s="57">
        <f>'план 19г развернутый'!G17</f>
        <v>0</v>
      </c>
      <c r="H14" s="57">
        <f>'план 19г развернутый'!H17</f>
        <v>4759.6499999999996</v>
      </c>
      <c r="I14" s="67">
        <f>'план 19г развернутый'!I17</f>
        <v>6259.65</v>
      </c>
      <c r="J14" s="57">
        <f>'план 19г развернутый'!J17</f>
        <v>0</v>
      </c>
      <c r="K14" s="57">
        <f>'план 19г развернутый'!K17</f>
        <v>6259.65</v>
      </c>
      <c r="L14" s="67">
        <f>'план 19г развернутый'!L17</f>
        <v>6259.65</v>
      </c>
      <c r="M14" s="57">
        <f>'план 19г развернутый'!M17</f>
        <v>0</v>
      </c>
      <c r="N14" s="57">
        <f>'план 19г развернутый'!N17</f>
        <v>6259.65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</row>
    <row r="15" spans="1:225" s="17" customFormat="1" ht="26.25" customHeight="1" x14ac:dyDescent="0.2">
      <c r="A15" s="15">
        <v>7</v>
      </c>
      <c r="B15" s="56" t="s">
        <v>11</v>
      </c>
      <c r="C15" s="67"/>
      <c r="D15" s="57"/>
      <c r="E15" s="57"/>
      <c r="F15" s="67"/>
      <c r="G15" s="57"/>
      <c r="H15" s="57"/>
      <c r="I15" s="67"/>
      <c r="J15" s="57"/>
      <c r="K15" s="57"/>
      <c r="L15" s="67"/>
      <c r="M15" s="57"/>
      <c r="N15" s="57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</row>
    <row r="16" spans="1:225" s="23" customFormat="1" ht="26.25" customHeight="1" x14ac:dyDescent="0.25">
      <c r="A16" s="15">
        <v>8</v>
      </c>
      <c r="B16" s="58" t="s">
        <v>14</v>
      </c>
      <c r="C16" s="67">
        <f>'план 19г развернутый'!C23</f>
        <v>0</v>
      </c>
      <c r="D16" s="57">
        <f>'план 19г развернутый'!D23</f>
        <v>0</v>
      </c>
      <c r="E16" s="57">
        <f>'план 19г развернутый'!E23</f>
        <v>0</v>
      </c>
      <c r="F16" s="67">
        <f>'план 19г развернутый'!F23</f>
        <v>0</v>
      </c>
      <c r="G16" s="57">
        <f>'план 19г развернутый'!G23</f>
        <v>45</v>
      </c>
      <c r="H16" s="57">
        <f>'план 19г развернутый'!H23</f>
        <v>0</v>
      </c>
      <c r="I16" s="67">
        <f>'план 19г развернутый'!I23</f>
        <v>3294.4421610169493</v>
      </c>
      <c r="J16" s="57">
        <f>'план 19г развернутый'!J23</f>
        <v>296.94216101694911</v>
      </c>
      <c r="K16" s="57">
        <f>'план 19г развернутый'!K23</f>
        <v>2997.5</v>
      </c>
      <c r="L16" s="67">
        <f>'план 19г развернутый'!L23</f>
        <v>6970.2521610169479</v>
      </c>
      <c r="M16" s="57">
        <f>'план 19г развернутый'!M23</f>
        <v>975.25216101694923</v>
      </c>
      <c r="N16" s="57">
        <f>'план 19г развернутый'!N23</f>
        <v>5995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GW16" s="24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</row>
    <row r="17" spans="1:225" s="26" customFormat="1" ht="35.25" customHeight="1" x14ac:dyDescent="0.3">
      <c r="A17" s="42"/>
      <c r="B17" s="43" t="s">
        <v>12</v>
      </c>
      <c r="C17" s="68">
        <f>C14+C16+C11</f>
        <v>2240</v>
      </c>
      <c r="D17" s="44">
        <f t="shared" ref="D17:N17" si="0">D14+D16+D11</f>
        <v>0</v>
      </c>
      <c r="E17" s="44">
        <f t="shared" si="0"/>
        <v>2240</v>
      </c>
      <c r="F17" s="68">
        <f t="shared" si="0"/>
        <v>5479.65</v>
      </c>
      <c r="G17" s="44">
        <f t="shared" si="0"/>
        <v>45</v>
      </c>
      <c r="H17" s="44">
        <f t="shared" si="0"/>
        <v>5479.65</v>
      </c>
      <c r="I17" s="68">
        <f t="shared" si="0"/>
        <v>10354.09216101695</v>
      </c>
      <c r="J17" s="44">
        <f t="shared" si="0"/>
        <v>296.94216101694911</v>
      </c>
      <c r="K17" s="44">
        <f t="shared" si="0"/>
        <v>10057.15</v>
      </c>
      <c r="L17" s="68">
        <f>L14+L16+L11</f>
        <v>14029.902161016948</v>
      </c>
      <c r="M17" s="44">
        <f t="shared" si="0"/>
        <v>975.25216101694923</v>
      </c>
      <c r="N17" s="44">
        <f t="shared" si="0"/>
        <v>13054.65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</row>
    <row r="18" spans="1:225" x14ac:dyDescent="0.25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225" ht="23.25" x14ac:dyDescent="0.35">
      <c r="B19" s="27"/>
      <c r="C19" s="28"/>
      <c r="D19" s="45" t="s">
        <v>23</v>
      </c>
      <c r="E19" s="45"/>
      <c r="F19" s="45"/>
      <c r="G19" s="45"/>
      <c r="H19" s="45"/>
      <c r="I19" s="45"/>
      <c r="J19" s="45"/>
      <c r="K19" s="46" t="s">
        <v>65</v>
      </c>
      <c r="L19" s="28"/>
      <c r="M19" s="28"/>
      <c r="N19" s="28"/>
    </row>
    <row r="20" spans="1:225" x14ac:dyDescent="0.25">
      <c r="B20" s="27"/>
      <c r="C20" s="28"/>
      <c r="D20" s="28"/>
      <c r="E20" s="28"/>
      <c r="F20" s="28"/>
      <c r="G20" s="28"/>
      <c r="H20" s="28"/>
      <c r="I20" s="28"/>
      <c r="J20" s="28"/>
      <c r="L20" s="28"/>
      <c r="M20" s="28"/>
      <c r="N20" s="28"/>
    </row>
    <row r="21" spans="1:225" ht="23.25" x14ac:dyDescent="0.35">
      <c r="C21" s="28"/>
      <c r="D21" s="45"/>
      <c r="E21" s="45"/>
      <c r="F21" s="45"/>
      <c r="G21" s="45"/>
      <c r="H21" s="45"/>
      <c r="I21" s="45"/>
      <c r="J21" s="45"/>
      <c r="K21" s="46"/>
      <c r="L21" s="28"/>
      <c r="M21" s="28"/>
      <c r="N21" s="28"/>
    </row>
    <row r="22" spans="1:225" x14ac:dyDescent="0.2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225" x14ac:dyDescent="0.25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225" s="32" customFormat="1" ht="18.75" x14ac:dyDescent="0.3">
      <c r="A24" s="29"/>
      <c r="B24" s="99"/>
      <c r="C24" s="99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</row>
    <row r="25" spans="1:225" s="32" customFormat="1" ht="18.75" x14ac:dyDescent="0.3">
      <c r="A25" s="29"/>
      <c r="B25" s="47"/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</row>
    <row r="26" spans="1:225" s="32" customFormat="1" ht="18.75" x14ac:dyDescent="0.3">
      <c r="A26" s="29"/>
      <c r="B26" s="4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</row>
    <row r="27" spans="1:225" s="32" customFormat="1" ht="18.75" x14ac:dyDescent="0.3">
      <c r="A27" s="29"/>
      <c r="B27" s="35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</row>
    <row r="28" spans="1:225" s="32" customFormat="1" ht="18.75" x14ac:dyDescent="0.3">
      <c r="A28" s="29"/>
      <c r="B28" s="93"/>
      <c r="C28" s="93"/>
      <c r="D28" s="3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</row>
    <row r="29" spans="1:225" s="32" customFormat="1" ht="18.75" x14ac:dyDescent="0.3">
      <c r="A29" s="29"/>
      <c r="B29" s="36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</row>
    <row r="30" spans="1:225" s="8" customFormat="1" x14ac:dyDescent="0.25">
      <c r="A30" s="3"/>
      <c r="B30" s="3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</row>
    <row r="31" spans="1:225" s="8" customFormat="1" x14ac:dyDescent="0.25">
      <c r="A31" s="3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</row>
    <row r="32" spans="1:225" s="8" customFormat="1" x14ac:dyDescent="0.25">
      <c r="A32" s="3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</row>
    <row r="33" spans="1:205" s="8" customFormat="1" x14ac:dyDescent="0.25">
      <c r="A33" s="3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</row>
    <row r="34" spans="1:205" s="8" customFormat="1" x14ac:dyDescent="0.25">
      <c r="A34" s="3"/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</row>
    <row r="35" spans="1:205" s="8" customFormat="1" x14ac:dyDescent="0.25">
      <c r="A35" s="3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</row>
    <row r="36" spans="1:205" s="8" customFormat="1" x14ac:dyDescent="0.25">
      <c r="A36" s="3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</row>
    <row r="37" spans="1:205" s="8" customFormat="1" x14ac:dyDescent="0.25">
      <c r="A37" s="3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</row>
    <row r="38" spans="1:205" s="8" customFormat="1" x14ac:dyDescent="0.25">
      <c r="A38" s="3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</row>
  </sheetData>
  <mergeCells count="18">
    <mergeCell ref="J7:K7"/>
    <mergeCell ref="B24:N24"/>
    <mergeCell ref="B28:C28"/>
    <mergeCell ref="A3:N3"/>
    <mergeCell ref="A5:A8"/>
    <mergeCell ref="B5:B8"/>
    <mergeCell ref="C5:N5"/>
    <mergeCell ref="L6:N6"/>
    <mergeCell ref="L7:L8"/>
    <mergeCell ref="M7:N7"/>
    <mergeCell ref="C6:E6"/>
    <mergeCell ref="D7:E7"/>
    <mergeCell ref="C7:C8"/>
    <mergeCell ref="F6:H6"/>
    <mergeCell ref="F7:F8"/>
    <mergeCell ref="G7:H7"/>
    <mergeCell ref="I6:K6"/>
    <mergeCell ref="I7:I8"/>
  </mergeCells>
  <printOptions horizontalCentered="1"/>
  <pageMargins left="0.19685039370078741" right="0.19685039370078741" top="0.98425196850393704" bottom="0.39370078740157483" header="0.15748031496062992" footer="0.19685039370078741"/>
  <pageSetup paperSize="9" scale="70" fitToHeight="0" orientation="landscape" blackAndWhite="1" r:id="rId1"/>
  <headerFooter alignWithMargins="0"/>
  <rowBreaks count="1" manualBreakCount="1">
    <brk id="2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53"/>
  <sheetViews>
    <sheetView view="pageBreakPreview" zoomScaleNormal="75" zoomScaleSheetLayoutView="100" workbookViewId="0">
      <pane xSplit="2" ySplit="8" topLeftCell="C30" activePane="bottomRight" state="frozen"/>
      <selection pane="topRight" activeCell="C1" sqref="C1"/>
      <selection pane="bottomLeft" activeCell="A6" sqref="A6"/>
      <selection pane="bottomRight" activeCell="B40" sqref="B40:B41"/>
    </sheetView>
  </sheetViews>
  <sheetFormatPr defaultRowHeight="15.75" x14ac:dyDescent="0.25"/>
  <cols>
    <col min="1" max="1" width="6.140625" style="3" customWidth="1"/>
    <col min="2" max="2" width="49.85546875" style="37" customWidth="1"/>
    <col min="3" max="3" width="12.28515625" style="5" customWidth="1"/>
    <col min="4" max="4" width="14.42578125" style="5" bestFit="1" customWidth="1"/>
    <col min="5" max="6" width="12.140625" style="5" customWidth="1"/>
    <col min="7" max="10" width="14.28515625" style="5" customWidth="1"/>
    <col min="11" max="11" width="15.85546875" style="5" customWidth="1"/>
    <col min="12" max="12" width="14.7109375" style="5" customWidth="1"/>
    <col min="13" max="13" width="14.5703125" style="5" customWidth="1"/>
    <col min="14" max="14" width="14.85546875" style="5" customWidth="1"/>
    <col min="15" max="15" width="9.28515625" style="8" customWidth="1"/>
    <col min="16" max="56" width="9.140625" style="8"/>
    <col min="57" max="205" width="9.140625" style="9"/>
    <col min="206" max="225" width="9.140625" style="8"/>
    <col min="226" max="16384" width="9.140625" style="9"/>
  </cols>
  <sheetData>
    <row r="1" spans="1:225" x14ac:dyDescent="0.25">
      <c r="M1" s="5" t="s">
        <v>27</v>
      </c>
    </row>
    <row r="3" spans="1:225" s="2" customFormat="1" ht="22.5" x14ac:dyDescent="0.3">
      <c r="A3" s="94" t="s">
        <v>30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51"/>
      <c r="P3" s="5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</row>
    <row r="4" spans="1:225" x14ac:dyDescent="0.25">
      <c r="B4" s="4"/>
      <c r="N4" s="6" t="s">
        <v>0</v>
      </c>
      <c r="O4" s="7"/>
      <c r="P4" s="7"/>
      <c r="Q4" s="7"/>
    </row>
    <row r="5" spans="1:225" s="11" customFormat="1" ht="18.75" x14ac:dyDescent="0.2">
      <c r="A5" s="95" t="s">
        <v>1</v>
      </c>
      <c r="B5" s="95" t="s">
        <v>28</v>
      </c>
      <c r="C5" s="96" t="s">
        <v>15</v>
      </c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</row>
    <row r="6" spans="1:225" s="11" customFormat="1" ht="18.75" x14ac:dyDescent="0.2">
      <c r="A6" s="95"/>
      <c r="B6" s="95"/>
      <c r="C6" s="96" t="s">
        <v>16</v>
      </c>
      <c r="D6" s="96"/>
      <c r="E6" s="96"/>
      <c r="F6" s="96" t="s">
        <v>17</v>
      </c>
      <c r="G6" s="96"/>
      <c r="H6" s="96"/>
      <c r="I6" s="96" t="s">
        <v>18</v>
      </c>
      <c r="J6" s="96"/>
      <c r="K6" s="96"/>
      <c r="L6" s="96" t="s">
        <v>19</v>
      </c>
      <c r="M6" s="96"/>
      <c r="N6" s="9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</row>
    <row r="7" spans="1:225" s="11" customFormat="1" ht="18.75" x14ac:dyDescent="0.2">
      <c r="A7" s="95"/>
      <c r="B7" s="95"/>
      <c r="C7" s="98" t="s">
        <v>4</v>
      </c>
      <c r="D7" s="96" t="s">
        <v>13</v>
      </c>
      <c r="E7" s="96"/>
      <c r="F7" s="98" t="s">
        <v>4</v>
      </c>
      <c r="G7" s="96" t="s">
        <v>13</v>
      </c>
      <c r="H7" s="96"/>
      <c r="I7" s="98" t="s">
        <v>4</v>
      </c>
      <c r="J7" s="96" t="s">
        <v>13</v>
      </c>
      <c r="K7" s="96"/>
      <c r="L7" s="98" t="s">
        <v>4</v>
      </c>
      <c r="M7" s="96" t="s">
        <v>13</v>
      </c>
      <c r="N7" s="96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</row>
    <row r="8" spans="1:225" s="11" customFormat="1" ht="38.25" thickBot="1" x14ac:dyDescent="0.25">
      <c r="A8" s="95"/>
      <c r="B8" s="95"/>
      <c r="C8" s="98"/>
      <c r="D8" s="38" t="s">
        <v>20</v>
      </c>
      <c r="E8" s="38" t="s">
        <v>21</v>
      </c>
      <c r="F8" s="98"/>
      <c r="G8" s="38" t="s">
        <v>20</v>
      </c>
      <c r="H8" s="38" t="s">
        <v>21</v>
      </c>
      <c r="I8" s="98"/>
      <c r="J8" s="38" t="s">
        <v>20</v>
      </c>
      <c r="K8" s="38" t="s">
        <v>21</v>
      </c>
      <c r="L8" s="98"/>
      <c r="M8" s="38" t="s">
        <v>20</v>
      </c>
      <c r="N8" s="38" t="s">
        <v>21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</row>
    <row r="9" spans="1:225" s="14" customFormat="1" ht="16.5" thickBot="1" x14ac:dyDescent="0.25">
      <c r="A9" s="16">
        <v>1</v>
      </c>
      <c r="B9" s="72" t="s">
        <v>5</v>
      </c>
      <c r="C9" s="64"/>
      <c r="D9" s="40"/>
      <c r="E9" s="40"/>
      <c r="F9" s="64"/>
      <c r="G9" s="40"/>
      <c r="H9" s="40"/>
      <c r="I9" s="64"/>
      <c r="J9" s="40"/>
      <c r="K9" s="40"/>
      <c r="L9" s="64"/>
      <c r="M9" s="40"/>
      <c r="N9" s="40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</row>
    <row r="10" spans="1:225" s="14" customFormat="1" ht="16.5" thickBot="1" x14ac:dyDescent="0.25">
      <c r="A10" s="16">
        <v>2</v>
      </c>
      <c r="B10" s="72" t="s">
        <v>6</v>
      </c>
      <c r="C10" s="65"/>
      <c r="D10" s="20"/>
      <c r="E10" s="20"/>
      <c r="F10" s="65"/>
      <c r="G10" s="20"/>
      <c r="H10" s="20"/>
      <c r="I10" s="65"/>
      <c r="J10" s="20"/>
      <c r="K10" s="20"/>
      <c r="L10" s="65"/>
      <c r="M10" s="20"/>
      <c r="N10" s="20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</row>
    <row r="11" spans="1:225" s="13" customFormat="1" x14ac:dyDescent="0.2">
      <c r="A11" s="16">
        <v>3</v>
      </c>
      <c r="B11" s="72" t="s">
        <v>24</v>
      </c>
      <c r="C11" s="63">
        <f>SUM(C12:C14)</f>
        <v>0</v>
      </c>
      <c r="D11" s="63">
        <f t="shared" ref="D11:N11" si="0">SUM(D12:D14)</f>
        <v>0</v>
      </c>
      <c r="E11" s="63">
        <f t="shared" si="0"/>
        <v>0</v>
      </c>
      <c r="F11" s="63">
        <f t="shared" si="0"/>
        <v>720</v>
      </c>
      <c r="G11" s="63">
        <f t="shared" si="0"/>
        <v>0</v>
      </c>
      <c r="H11" s="63">
        <f t="shared" si="0"/>
        <v>720</v>
      </c>
      <c r="I11" s="63">
        <f t="shared" si="0"/>
        <v>800</v>
      </c>
      <c r="J11" s="63">
        <f t="shared" si="0"/>
        <v>0</v>
      </c>
      <c r="K11" s="63">
        <f t="shared" si="0"/>
        <v>800</v>
      </c>
      <c r="L11" s="63">
        <f t="shared" si="0"/>
        <v>800</v>
      </c>
      <c r="M11" s="63">
        <f t="shared" si="0"/>
        <v>0</v>
      </c>
      <c r="N11" s="63">
        <f t="shared" si="0"/>
        <v>800</v>
      </c>
    </row>
    <row r="12" spans="1:225" s="13" customFormat="1" x14ac:dyDescent="0.2">
      <c r="A12" s="59" t="s">
        <v>39</v>
      </c>
      <c r="B12" s="19" t="s">
        <v>64</v>
      </c>
      <c r="C12" s="63">
        <f>D12+E12</f>
        <v>0</v>
      </c>
      <c r="D12" s="57">
        <v>0</v>
      </c>
      <c r="E12" s="57">
        <v>0</v>
      </c>
      <c r="F12" s="63">
        <f>G12+H12</f>
        <v>650</v>
      </c>
      <c r="G12" s="57">
        <v>0</v>
      </c>
      <c r="H12" s="57">
        <v>650</v>
      </c>
      <c r="I12" s="63">
        <f>J12+K12</f>
        <v>650</v>
      </c>
      <c r="J12" s="57">
        <v>0</v>
      </c>
      <c r="K12" s="57">
        <f>0+H12</f>
        <v>650</v>
      </c>
      <c r="L12" s="63">
        <f>M12+N12</f>
        <v>650</v>
      </c>
      <c r="M12" s="57">
        <v>0</v>
      </c>
      <c r="N12" s="57">
        <f>K12</f>
        <v>650</v>
      </c>
    </row>
    <row r="13" spans="1:225" s="13" customFormat="1" ht="31.5" x14ac:dyDescent="0.2">
      <c r="A13" s="59" t="s">
        <v>40</v>
      </c>
      <c r="B13" s="19" t="s">
        <v>43</v>
      </c>
      <c r="C13" s="63">
        <f t="shared" ref="C13:C14" si="1">D13+E13</f>
        <v>0</v>
      </c>
      <c r="D13" s="57">
        <v>0</v>
      </c>
      <c r="E13" s="57">
        <v>0</v>
      </c>
      <c r="F13" s="63">
        <f t="shared" ref="F13:F14" si="2">G13+H13</f>
        <v>70</v>
      </c>
      <c r="G13" s="57">
        <v>0</v>
      </c>
      <c r="H13" s="57">
        <v>70</v>
      </c>
      <c r="I13" s="63">
        <f t="shared" ref="I13:I14" si="3">J13+K13</f>
        <v>70</v>
      </c>
      <c r="J13" s="57">
        <v>0</v>
      </c>
      <c r="K13" s="57">
        <f>0+H13</f>
        <v>70</v>
      </c>
      <c r="L13" s="63">
        <f t="shared" ref="L13:L14" si="4">M13+N13</f>
        <v>70</v>
      </c>
      <c r="M13" s="57">
        <v>0</v>
      </c>
      <c r="N13" s="57">
        <f>K13</f>
        <v>70</v>
      </c>
    </row>
    <row r="14" spans="1:225" s="13" customFormat="1" ht="31.5" x14ac:dyDescent="0.2">
      <c r="A14" s="59" t="s">
        <v>41</v>
      </c>
      <c r="B14" s="19" t="s">
        <v>42</v>
      </c>
      <c r="C14" s="63">
        <f t="shared" si="1"/>
        <v>0</v>
      </c>
      <c r="D14" s="57">
        <v>0</v>
      </c>
      <c r="E14" s="57">
        <v>0</v>
      </c>
      <c r="F14" s="63">
        <f t="shared" si="2"/>
        <v>0</v>
      </c>
      <c r="G14" s="57">
        <v>0</v>
      </c>
      <c r="H14" s="57">
        <v>0</v>
      </c>
      <c r="I14" s="63">
        <f t="shared" si="3"/>
        <v>80</v>
      </c>
      <c r="J14" s="57">
        <v>0</v>
      </c>
      <c r="K14" s="57">
        <v>80</v>
      </c>
      <c r="L14" s="63">
        <f t="shared" si="4"/>
        <v>80</v>
      </c>
      <c r="M14" s="57">
        <v>0</v>
      </c>
      <c r="N14" s="57">
        <f>K14</f>
        <v>80</v>
      </c>
    </row>
    <row r="15" spans="1:225" s="10" customFormat="1" ht="18.75" x14ac:dyDescent="0.2">
      <c r="A15" s="16">
        <v>4</v>
      </c>
      <c r="B15" s="72" t="s">
        <v>8</v>
      </c>
      <c r="C15" s="66"/>
      <c r="D15" s="41"/>
      <c r="E15" s="41"/>
      <c r="F15" s="66"/>
      <c r="G15" s="41"/>
      <c r="H15" s="41"/>
      <c r="I15" s="66"/>
      <c r="J15" s="41"/>
      <c r="K15" s="41"/>
      <c r="L15" s="66"/>
      <c r="M15" s="41"/>
      <c r="N15" s="41"/>
    </row>
    <row r="16" spans="1:225" s="10" customFormat="1" ht="18.75" x14ac:dyDescent="0.2">
      <c r="A16" s="16">
        <v>5</v>
      </c>
      <c r="B16" s="72" t="s">
        <v>9</v>
      </c>
      <c r="C16" s="66"/>
      <c r="D16" s="41"/>
      <c r="E16" s="41"/>
      <c r="F16" s="66"/>
      <c r="G16" s="41"/>
      <c r="H16" s="41"/>
      <c r="I16" s="66"/>
      <c r="J16" s="41"/>
      <c r="K16" s="41"/>
      <c r="L16" s="66"/>
      <c r="M16" s="41"/>
      <c r="N16" s="41"/>
    </row>
    <row r="17" spans="1:225" s="17" customFormat="1" x14ac:dyDescent="0.2">
      <c r="A17" s="61">
        <v>6</v>
      </c>
      <c r="B17" s="62" t="s">
        <v>10</v>
      </c>
      <c r="C17" s="63">
        <f t="shared" ref="C17:N17" si="5">SUM(C18:C21)</f>
        <v>2240</v>
      </c>
      <c r="D17" s="63">
        <f t="shared" si="5"/>
        <v>0</v>
      </c>
      <c r="E17" s="63">
        <f t="shared" si="5"/>
        <v>2240</v>
      </c>
      <c r="F17" s="63">
        <f t="shared" si="5"/>
        <v>4759.6499999999996</v>
      </c>
      <c r="G17" s="63">
        <f t="shared" si="5"/>
        <v>0</v>
      </c>
      <c r="H17" s="63">
        <f t="shared" si="5"/>
        <v>4759.6499999999996</v>
      </c>
      <c r="I17" s="63">
        <f t="shared" si="5"/>
        <v>6259.65</v>
      </c>
      <c r="J17" s="63">
        <f t="shared" si="5"/>
        <v>0</v>
      </c>
      <c r="K17" s="63">
        <f t="shared" si="5"/>
        <v>6259.65</v>
      </c>
      <c r="L17" s="63">
        <f t="shared" si="5"/>
        <v>6259.65</v>
      </c>
      <c r="M17" s="63">
        <f t="shared" si="5"/>
        <v>0</v>
      </c>
      <c r="N17" s="63">
        <f t="shared" si="5"/>
        <v>6259.65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</row>
    <row r="18" spans="1:225" s="17" customFormat="1" x14ac:dyDescent="0.2">
      <c r="A18" s="59" t="s">
        <v>31</v>
      </c>
      <c r="B18" s="19" t="s">
        <v>36</v>
      </c>
      <c r="C18" s="63">
        <f>D18+E18</f>
        <v>0</v>
      </c>
      <c r="D18" s="57">
        <v>0</v>
      </c>
      <c r="E18" s="57">
        <v>0</v>
      </c>
      <c r="F18" s="63">
        <f>G18+H18</f>
        <v>389.83</v>
      </c>
      <c r="G18" s="57">
        <v>0</v>
      </c>
      <c r="H18" s="57">
        <f>389.83+E18</f>
        <v>389.83</v>
      </c>
      <c r="I18" s="63">
        <f>J18+K18</f>
        <v>788.14</v>
      </c>
      <c r="J18" s="57">
        <v>0</v>
      </c>
      <c r="K18" s="57">
        <f>398.31+H18</f>
        <v>788.14</v>
      </c>
      <c r="L18" s="63">
        <f>M18+N18</f>
        <v>788.14</v>
      </c>
      <c r="M18" s="57">
        <v>0</v>
      </c>
      <c r="N18" s="57">
        <f>K18</f>
        <v>788.14</v>
      </c>
      <c r="O18" s="71"/>
      <c r="P18" s="71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</row>
    <row r="19" spans="1:225" s="17" customFormat="1" x14ac:dyDescent="0.2">
      <c r="A19" s="59" t="s">
        <v>32</v>
      </c>
      <c r="B19" s="19" t="s">
        <v>37</v>
      </c>
      <c r="C19" s="63">
        <f t="shared" ref="C19:C20" si="6">D19+E19</f>
        <v>110.17</v>
      </c>
      <c r="D19" s="57">
        <v>0</v>
      </c>
      <c r="E19" s="57">
        <v>110.17</v>
      </c>
      <c r="F19" s="63">
        <f t="shared" ref="F19:F20" si="7">G19+H19</f>
        <v>110.17</v>
      </c>
      <c r="G19" s="57">
        <v>0</v>
      </c>
      <c r="H19" s="57">
        <f>0+E19</f>
        <v>110.17</v>
      </c>
      <c r="I19" s="63">
        <f t="shared" ref="I19:I20" si="8">J19+K19</f>
        <v>110.17</v>
      </c>
      <c r="J19" s="57">
        <v>0</v>
      </c>
      <c r="K19" s="57">
        <f>0+H19</f>
        <v>110.17</v>
      </c>
      <c r="L19" s="63">
        <f t="shared" ref="L19:L20" si="9">M19+N19</f>
        <v>110.17</v>
      </c>
      <c r="M19" s="57">
        <v>0</v>
      </c>
      <c r="N19" s="57">
        <f>K19</f>
        <v>110.17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</row>
    <row r="20" spans="1:225" s="17" customFormat="1" x14ac:dyDescent="0.2">
      <c r="A20" s="59" t="s">
        <v>33</v>
      </c>
      <c r="B20" s="19" t="s">
        <v>38</v>
      </c>
      <c r="C20" s="63">
        <f t="shared" si="6"/>
        <v>0</v>
      </c>
      <c r="D20" s="57">
        <v>0</v>
      </c>
      <c r="E20" s="57">
        <v>0</v>
      </c>
      <c r="F20" s="63">
        <f t="shared" si="7"/>
        <v>0</v>
      </c>
      <c r="G20" s="57">
        <v>0</v>
      </c>
      <c r="H20" s="57">
        <v>0</v>
      </c>
      <c r="I20" s="63">
        <f t="shared" si="8"/>
        <v>1101.69</v>
      </c>
      <c r="J20" s="57">
        <v>0</v>
      </c>
      <c r="K20" s="57">
        <v>1101.69</v>
      </c>
      <c r="L20" s="63">
        <f t="shared" si="9"/>
        <v>1101.69</v>
      </c>
      <c r="M20" s="57">
        <v>0</v>
      </c>
      <c r="N20" s="57">
        <f t="shared" ref="N20" si="10">E20+H20+K20</f>
        <v>1101.69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</row>
    <row r="21" spans="1:225" s="17" customFormat="1" ht="31.5" x14ac:dyDescent="0.2">
      <c r="A21" s="59" t="s">
        <v>34</v>
      </c>
      <c r="B21" s="19" t="s">
        <v>35</v>
      </c>
      <c r="C21" s="63">
        <f>D21+E21</f>
        <v>2129.83</v>
      </c>
      <c r="D21" s="57">
        <v>0</v>
      </c>
      <c r="E21" s="57">
        <v>2129.83</v>
      </c>
      <c r="F21" s="63">
        <f>G21+H21</f>
        <v>4259.6499999999996</v>
      </c>
      <c r="G21" s="57">
        <v>0</v>
      </c>
      <c r="H21" s="57">
        <f>2129.82+E21</f>
        <v>4259.6499999999996</v>
      </c>
      <c r="I21" s="63">
        <f>J21+K21</f>
        <v>4259.6499999999996</v>
      </c>
      <c r="J21" s="57">
        <v>0</v>
      </c>
      <c r="K21" s="57">
        <f>0+H21</f>
        <v>4259.6499999999996</v>
      </c>
      <c r="L21" s="63">
        <f>M21+N21</f>
        <v>4259.6499999999996</v>
      </c>
      <c r="M21" s="57">
        <v>0</v>
      </c>
      <c r="N21" s="57">
        <f>K21</f>
        <v>4259.6499999999996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</row>
    <row r="22" spans="1:225" s="17" customFormat="1" x14ac:dyDescent="0.2">
      <c r="A22" s="16">
        <v>7</v>
      </c>
      <c r="B22" s="60" t="s">
        <v>11</v>
      </c>
      <c r="C22" s="67"/>
      <c r="D22" s="18"/>
      <c r="E22" s="18"/>
      <c r="F22" s="67"/>
      <c r="G22" s="18"/>
      <c r="H22" s="18"/>
      <c r="I22" s="67"/>
      <c r="J22" s="18"/>
      <c r="K22" s="18"/>
      <c r="L22" s="67"/>
      <c r="M22" s="18"/>
      <c r="N22" s="18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</row>
    <row r="23" spans="1:225" s="23" customFormat="1" x14ac:dyDescent="0.25">
      <c r="A23" s="61">
        <v>8</v>
      </c>
      <c r="B23" s="62" t="s">
        <v>14</v>
      </c>
      <c r="C23" s="63">
        <f t="shared" ref="C23:N23" si="11">SUM(C24:C33)</f>
        <v>0</v>
      </c>
      <c r="D23" s="63">
        <f t="shared" si="11"/>
        <v>0</v>
      </c>
      <c r="E23" s="63">
        <f t="shared" si="11"/>
        <v>0</v>
      </c>
      <c r="F23" s="63">
        <f t="shared" si="11"/>
        <v>0</v>
      </c>
      <c r="G23" s="63">
        <f t="shared" si="11"/>
        <v>45</v>
      </c>
      <c r="H23" s="63">
        <f t="shared" si="11"/>
        <v>0</v>
      </c>
      <c r="I23" s="63">
        <f t="shared" si="11"/>
        <v>3294.4421610169493</v>
      </c>
      <c r="J23" s="63">
        <f t="shared" si="11"/>
        <v>296.94216101694911</v>
      </c>
      <c r="K23" s="63">
        <f t="shared" si="11"/>
        <v>2997.5</v>
      </c>
      <c r="L23" s="63">
        <f t="shared" si="11"/>
        <v>6970.2521610169479</v>
      </c>
      <c r="M23" s="63">
        <f t="shared" si="11"/>
        <v>975.25216101694923</v>
      </c>
      <c r="N23" s="63">
        <f t="shared" si="11"/>
        <v>5995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GW23" s="24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</row>
    <row r="24" spans="1:225" s="8" customFormat="1" ht="31.5" x14ac:dyDescent="0.25">
      <c r="A24" s="59" t="s">
        <v>44</v>
      </c>
      <c r="B24" s="21" t="s">
        <v>49</v>
      </c>
      <c r="C24" s="63">
        <f>D24+E24</f>
        <v>0</v>
      </c>
      <c r="D24" s="57">
        <v>0</v>
      </c>
      <c r="E24" s="57">
        <v>0</v>
      </c>
      <c r="F24" s="63">
        <f>G24+H24</f>
        <v>0</v>
      </c>
      <c r="G24" s="57">
        <v>0</v>
      </c>
      <c r="H24" s="57">
        <f>0+E24</f>
        <v>0</v>
      </c>
      <c r="I24" s="63">
        <f>J24+K24</f>
        <v>2997.5</v>
      </c>
      <c r="J24" s="57">
        <v>0</v>
      </c>
      <c r="K24" s="57">
        <v>2997.5</v>
      </c>
      <c r="L24" s="63">
        <f>M24+N24</f>
        <v>5995</v>
      </c>
      <c r="M24" s="57">
        <v>0</v>
      </c>
      <c r="N24" s="57">
        <f>K24+2997.5</f>
        <v>5995</v>
      </c>
    </row>
    <row r="25" spans="1:225" s="8" customFormat="1" x14ac:dyDescent="0.25">
      <c r="A25" s="59" t="s">
        <v>45</v>
      </c>
      <c r="B25" s="21" t="s">
        <v>50</v>
      </c>
      <c r="C25" s="67"/>
      <c r="D25" s="57">
        <v>0</v>
      </c>
      <c r="E25" s="57">
        <v>0</v>
      </c>
      <c r="F25" s="67"/>
      <c r="G25" s="57">
        <v>1</v>
      </c>
      <c r="H25" s="57">
        <f t="shared" ref="H25:H33" si="12">0+E25</f>
        <v>0</v>
      </c>
      <c r="I25" s="63">
        <f t="shared" ref="I25:I33" si="13">J25+K25</f>
        <v>0</v>
      </c>
      <c r="J25" s="57">
        <v>0</v>
      </c>
      <c r="K25" s="18">
        <v>0</v>
      </c>
      <c r="L25" s="63">
        <f t="shared" ref="L25:L33" si="14">M25+N25</f>
        <v>678.31</v>
      </c>
      <c r="M25" s="57">
        <v>678.31</v>
      </c>
      <c r="N25" s="18">
        <f>K25</f>
        <v>0</v>
      </c>
    </row>
    <row r="26" spans="1:225" s="8" customFormat="1" ht="31.5" x14ac:dyDescent="0.25">
      <c r="A26" s="59" t="s">
        <v>46</v>
      </c>
      <c r="B26" s="21" t="s">
        <v>51</v>
      </c>
      <c r="C26" s="67"/>
      <c r="D26" s="57">
        <v>0</v>
      </c>
      <c r="E26" s="57">
        <v>0</v>
      </c>
      <c r="F26" s="67"/>
      <c r="G26" s="57">
        <v>2</v>
      </c>
      <c r="H26" s="57">
        <f t="shared" si="12"/>
        <v>0</v>
      </c>
      <c r="I26" s="63">
        <f t="shared" si="13"/>
        <v>17.491525423728799</v>
      </c>
      <c r="J26" s="57">
        <f>17491.5254237288/1000</f>
        <v>17.491525423728799</v>
      </c>
      <c r="K26" s="18">
        <v>0</v>
      </c>
      <c r="L26" s="63">
        <f t="shared" si="14"/>
        <v>17.491525423728799</v>
      </c>
      <c r="M26" s="18">
        <f>J26</f>
        <v>17.491525423728799</v>
      </c>
      <c r="N26" s="18">
        <f t="shared" ref="N26:N33" si="15">K26</f>
        <v>0</v>
      </c>
    </row>
    <row r="27" spans="1:225" s="8" customFormat="1" ht="31.5" x14ac:dyDescent="0.25">
      <c r="A27" s="59" t="s">
        <v>47</v>
      </c>
      <c r="B27" s="21" t="s">
        <v>52</v>
      </c>
      <c r="C27" s="67"/>
      <c r="D27" s="57">
        <v>0</v>
      </c>
      <c r="E27" s="57">
        <v>0</v>
      </c>
      <c r="F27" s="67"/>
      <c r="G27" s="57">
        <v>3</v>
      </c>
      <c r="H27" s="57">
        <f t="shared" si="12"/>
        <v>0</v>
      </c>
      <c r="I27" s="63">
        <f t="shared" si="13"/>
        <v>15.7203389830508</v>
      </c>
      <c r="J27" s="57">
        <f>15720.3389830508/1000</f>
        <v>15.7203389830508</v>
      </c>
      <c r="K27" s="18">
        <v>0</v>
      </c>
      <c r="L27" s="63">
        <f t="shared" si="14"/>
        <v>15.7203389830508</v>
      </c>
      <c r="M27" s="18">
        <f t="shared" ref="M27:M33" si="16">J27</f>
        <v>15.7203389830508</v>
      </c>
      <c r="N27" s="18">
        <f t="shared" si="15"/>
        <v>0</v>
      </c>
    </row>
    <row r="28" spans="1:225" s="8" customFormat="1" ht="31.5" x14ac:dyDescent="0.25">
      <c r="A28" s="59" t="s">
        <v>48</v>
      </c>
      <c r="B28" s="21" t="s">
        <v>53</v>
      </c>
      <c r="C28" s="67"/>
      <c r="D28" s="57">
        <v>0</v>
      </c>
      <c r="E28" s="57">
        <v>0</v>
      </c>
      <c r="F28" s="67"/>
      <c r="G28" s="57">
        <v>4</v>
      </c>
      <c r="H28" s="57">
        <f t="shared" si="12"/>
        <v>0</v>
      </c>
      <c r="I28" s="63">
        <f t="shared" si="13"/>
        <v>28.163474576271202</v>
      </c>
      <c r="J28" s="57">
        <f>28163.4745762712/1000</f>
        <v>28.163474576271202</v>
      </c>
      <c r="K28" s="18">
        <v>0</v>
      </c>
      <c r="L28" s="63">
        <f t="shared" si="14"/>
        <v>28.163474576271202</v>
      </c>
      <c r="M28" s="18">
        <f t="shared" si="16"/>
        <v>28.163474576271202</v>
      </c>
      <c r="N28" s="18">
        <f t="shared" si="15"/>
        <v>0</v>
      </c>
    </row>
    <row r="29" spans="1:225" s="8" customFormat="1" ht="31.5" x14ac:dyDescent="0.25">
      <c r="A29" s="59" t="s">
        <v>59</v>
      </c>
      <c r="B29" s="21" t="s">
        <v>54</v>
      </c>
      <c r="C29" s="67"/>
      <c r="D29" s="57">
        <v>0</v>
      </c>
      <c r="E29" s="57">
        <v>0</v>
      </c>
      <c r="F29" s="67"/>
      <c r="G29" s="57">
        <v>5</v>
      </c>
      <c r="H29" s="57">
        <f t="shared" si="12"/>
        <v>0</v>
      </c>
      <c r="I29" s="63">
        <f t="shared" si="13"/>
        <v>36.610169491525397</v>
      </c>
      <c r="J29" s="57">
        <f>36610.1694915254/1000</f>
        <v>36.610169491525397</v>
      </c>
      <c r="K29" s="18">
        <v>0</v>
      </c>
      <c r="L29" s="63">
        <f t="shared" si="14"/>
        <v>36.610169491525397</v>
      </c>
      <c r="M29" s="18">
        <f t="shared" si="16"/>
        <v>36.610169491525397</v>
      </c>
      <c r="N29" s="18">
        <f t="shared" si="15"/>
        <v>0</v>
      </c>
    </row>
    <row r="30" spans="1:225" s="8" customFormat="1" ht="31.5" x14ac:dyDescent="0.25">
      <c r="A30" s="59" t="s">
        <v>60</v>
      </c>
      <c r="B30" s="21" t="s">
        <v>55</v>
      </c>
      <c r="C30" s="67"/>
      <c r="D30" s="57">
        <v>0</v>
      </c>
      <c r="E30" s="57">
        <v>0</v>
      </c>
      <c r="F30" s="67"/>
      <c r="G30" s="57">
        <v>6</v>
      </c>
      <c r="H30" s="57">
        <f t="shared" si="12"/>
        <v>0</v>
      </c>
      <c r="I30" s="63">
        <f t="shared" si="13"/>
        <v>50.991525423728802</v>
      </c>
      <c r="J30" s="57">
        <f>50991.5254237288/1000</f>
        <v>50.991525423728802</v>
      </c>
      <c r="K30" s="18">
        <v>0</v>
      </c>
      <c r="L30" s="63">
        <f t="shared" si="14"/>
        <v>50.991525423728802</v>
      </c>
      <c r="M30" s="18">
        <f t="shared" si="16"/>
        <v>50.991525423728802</v>
      </c>
      <c r="N30" s="18">
        <f t="shared" si="15"/>
        <v>0</v>
      </c>
    </row>
    <row r="31" spans="1:225" s="8" customFormat="1" ht="31.5" x14ac:dyDescent="0.25">
      <c r="A31" s="59" t="s">
        <v>61</v>
      </c>
      <c r="B31" s="21" t="s">
        <v>56</v>
      </c>
      <c r="C31" s="67"/>
      <c r="D31" s="57">
        <v>0</v>
      </c>
      <c r="E31" s="57">
        <v>0</v>
      </c>
      <c r="F31" s="67"/>
      <c r="G31" s="57">
        <v>7</v>
      </c>
      <c r="H31" s="57">
        <f t="shared" si="12"/>
        <v>0</v>
      </c>
      <c r="I31" s="63">
        <f t="shared" si="13"/>
        <v>44.135593220338997</v>
      </c>
      <c r="J31" s="57">
        <f>44135.593220339/1000</f>
        <v>44.135593220338997</v>
      </c>
      <c r="K31" s="18">
        <v>0</v>
      </c>
      <c r="L31" s="63">
        <f t="shared" si="14"/>
        <v>44.135593220338997</v>
      </c>
      <c r="M31" s="18">
        <f t="shared" si="16"/>
        <v>44.135593220338997</v>
      </c>
      <c r="N31" s="18">
        <f t="shared" si="15"/>
        <v>0</v>
      </c>
    </row>
    <row r="32" spans="1:225" s="8" customFormat="1" ht="31.5" x14ac:dyDescent="0.25">
      <c r="A32" s="59" t="s">
        <v>62</v>
      </c>
      <c r="B32" s="21" t="s">
        <v>57</v>
      </c>
      <c r="C32" s="67"/>
      <c r="D32" s="57">
        <v>0</v>
      </c>
      <c r="E32" s="57">
        <v>0</v>
      </c>
      <c r="F32" s="67"/>
      <c r="G32" s="57">
        <v>8</v>
      </c>
      <c r="H32" s="57">
        <f t="shared" si="12"/>
        <v>0</v>
      </c>
      <c r="I32" s="63">
        <f t="shared" si="13"/>
        <v>49.830508474576298</v>
      </c>
      <c r="J32" s="57">
        <f>49830.5084745763/1000</f>
        <v>49.830508474576298</v>
      </c>
      <c r="K32" s="18">
        <v>0</v>
      </c>
      <c r="L32" s="63">
        <f t="shared" si="14"/>
        <v>49.830508474576298</v>
      </c>
      <c r="M32" s="18">
        <f t="shared" si="16"/>
        <v>49.830508474576298</v>
      </c>
      <c r="N32" s="18">
        <f t="shared" si="15"/>
        <v>0</v>
      </c>
    </row>
    <row r="33" spans="1:225" s="8" customFormat="1" ht="31.5" x14ac:dyDescent="0.25">
      <c r="A33" s="59" t="s">
        <v>63</v>
      </c>
      <c r="B33" s="21" t="s">
        <v>58</v>
      </c>
      <c r="C33" s="67"/>
      <c r="D33" s="57">
        <v>0</v>
      </c>
      <c r="E33" s="57">
        <v>0</v>
      </c>
      <c r="F33" s="67"/>
      <c r="G33" s="57">
        <v>9</v>
      </c>
      <c r="H33" s="57">
        <f t="shared" si="12"/>
        <v>0</v>
      </c>
      <c r="I33" s="63">
        <f t="shared" si="13"/>
        <v>53.999025423728803</v>
      </c>
      <c r="J33" s="57">
        <f>53999.0254237288/1000</f>
        <v>53.999025423728803</v>
      </c>
      <c r="K33" s="18">
        <v>0</v>
      </c>
      <c r="L33" s="63">
        <f t="shared" si="14"/>
        <v>53.999025423728803</v>
      </c>
      <c r="M33" s="18">
        <f t="shared" si="16"/>
        <v>53.999025423728803</v>
      </c>
      <c r="N33" s="18">
        <f t="shared" si="15"/>
        <v>0</v>
      </c>
    </row>
    <row r="34" spans="1:225" s="26" customFormat="1" ht="20.25" x14ac:dyDescent="0.3">
      <c r="A34" s="69"/>
      <c r="B34" s="70" t="s">
        <v>12</v>
      </c>
      <c r="C34" s="68">
        <f>C23+C17+C11</f>
        <v>2240</v>
      </c>
      <c r="D34" s="68">
        <f t="shared" ref="D34:M34" si="17">D23+D17+D11</f>
        <v>0</v>
      </c>
      <c r="E34" s="68">
        <f t="shared" si="17"/>
        <v>2240</v>
      </c>
      <c r="F34" s="68">
        <f t="shared" si="17"/>
        <v>5479.65</v>
      </c>
      <c r="G34" s="68">
        <f t="shared" si="17"/>
        <v>45</v>
      </c>
      <c r="H34" s="68">
        <f t="shared" si="17"/>
        <v>5479.65</v>
      </c>
      <c r="I34" s="68">
        <f>I23+I17+I11</f>
        <v>10354.09216101695</v>
      </c>
      <c r="J34" s="68">
        <f t="shared" si="17"/>
        <v>296.94216101694911</v>
      </c>
      <c r="K34" s="68">
        <f t="shared" si="17"/>
        <v>10057.15</v>
      </c>
      <c r="L34" s="68">
        <f>L23+L17+L11</f>
        <v>14029.902161016948</v>
      </c>
      <c r="M34" s="68">
        <f t="shared" si="17"/>
        <v>975.25216101694923</v>
      </c>
      <c r="N34" s="68">
        <f>N23+N17+N11</f>
        <v>13054.65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</row>
    <row r="35" spans="1:225" x14ac:dyDescent="0.25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225" x14ac:dyDescent="0.25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225" x14ac:dyDescent="0.25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225" ht="23.25" x14ac:dyDescent="0.35">
      <c r="B38" s="27"/>
      <c r="C38" s="28"/>
      <c r="D38" s="45" t="s">
        <v>23</v>
      </c>
      <c r="E38" s="45"/>
      <c r="F38" s="45"/>
      <c r="G38" s="45"/>
      <c r="H38" s="45"/>
      <c r="I38" s="45"/>
      <c r="J38" s="45"/>
      <c r="K38" s="46" t="s">
        <v>65</v>
      </c>
      <c r="L38" s="28"/>
      <c r="M38" s="28"/>
      <c r="N38" s="28"/>
    </row>
    <row r="39" spans="1:225" ht="23.25" x14ac:dyDescent="0.35">
      <c r="B39" s="27"/>
      <c r="C39" s="28"/>
      <c r="D39" s="45"/>
      <c r="E39" s="45"/>
      <c r="F39" s="45"/>
      <c r="G39" s="45"/>
      <c r="H39" s="45"/>
      <c r="I39" s="45"/>
      <c r="J39" s="45"/>
      <c r="K39" s="46"/>
      <c r="L39" s="28"/>
      <c r="M39" s="28"/>
      <c r="N39" s="28"/>
    </row>
    <row r="40" spans="1:225" s="32" customFormat="1" ht="18.75" x14ac:dyDescent="0.3">
      <c r="A40" s="29"/>
      <c r="B40" s="47"/>
      <c r="C40" s="48"/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</row>
    <row r="41" spans="1:225" s="32" customFormat="1" ht="18.75" x14ac:dyDescent="0.3">
      <c r="A41" s="29"/>
      <c r="B41" s="47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</row>
    <row r="42" spans="1:225" s="32" customFormat="1" ht="18.75" x14ac:dyDescent="0.3">
      <c r="A42" s="29"/>
      <c r="B42" s="5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</row>
    <row r="43" spans="1:225" s="32" customFormat="1" ht="18.75" x14ac:dyDescent="0.3">
      <c r="A43" s="29"/>
      <c r="B43" s="93"/>
      <c r="C43" s="93"/>
      <c r="D43" s="5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</row>
    <row r="44" spans="1:225" s="32" customFormat="1" ht="18.75" x14ac:dyDescent="0.3">
      <c r="A44" s="29"/>
      <c r="B44" s="3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</row>
    <row r="45" spans="1:225" s="8" customFormat="1" x14ac:dyDescent="0.25">
      <c r="A45" s="3"/>
      <c r="B45" s="3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</row>
    <row r="46" spans="1:225" s="8" customFormat="1" x14ac:dyDescent="0.25">
      <c r="A46" s="3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</row>
    <row r="47" spans="1:225" s="8" customFormat="1" x14ac:dyDescent="0.25">
      <c r="A47" s="3"/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</row>
    <row r="48" spans="1:225" s="8" customFormat="1" x14ac:dyDescent="0.25">
      <c r="A48" s="3"/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</row>
    <row r="49" spans="1:205" s="8" customFormat="1" x14ac:dyDescent="0.25">
      <c r="A49" s="3"/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</row>
    <row r="50" spans="1:205" s="8" customFormat="1" x14ac:dyDescent="0.25">
      <c r="A50" s="3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</row>
    <row r="51" spans="1:205" s="8" customFormat="1" x14ac:dyDescent="0.25">
      <c r="A51" s="3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</row>
    <row r="52" spans="1:205" s="8" customFormat="1" x14ac:dyDescent="0.25">
      <c r="A52" s="3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</row>
    <row r="53" spans="1:205" s="8" customFormat="1" x14ac:dyDescent="0.25">
      <c r="A53" s="3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</row>
  </sheetData>
  <mergeCells count="17">
    <mergeCell ref="B43:C43"/>
    <mergeCell ref="F7:F8"/>
    <mergeCell ref="G7:H7"/>
    <mergeCell ref="I7:I8"/>
    <mergeCell ref="J7:K7"/>
    <mergeCell ref="L7:L8"/>
    <mergeCell ref="M7:N7"/>
    <mergeCell ref="A3:N3"/>
    <mergeCell ref="A5:A8"/>
    <mergeCell ref="B5:B8"/>
    <mergeCell ref="C5:N5"/>
    <mergeCell ref="C6:E6"/>
    <mergeCell ref="F6:H6"/>
    <mergeCell ref="I6:K6"/>
    <mergeCell ref="L6:N6"/>
    <mergeCell ref="C7:C8"/>
    <mergeCell ref="D7:E7"/>
  </mergeCells>
  <printOptions horizontalCentered="1"/>
  <pageMargins left="0.19685039370078741" right="0.19685039370078741" top="0.98425196850393704" bottom="0.39370078740157483" header="0.15748031496062992" footer="0.19685039370078741"/>
  <pageSetup paperSize="9" scale="45" fitToHeight="0" orientation="landscape" blackAndWhite="1" r:id="rId1"/>
  <headerFooter alignWithMargins="0"/>
  <rowBreaks count="1" manualBreakCount="1">
    <brk id="43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43"/>
  <sheetViews>
    <sheetView zoomScale="75" zoomScaleNormal="75" zoomScaleSheetLayoutView="7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RowHeight="15.75" x14ac:dyDescent="0.25"/>
  <cols>
    <col min="1" max="1" width="6.140625" style="3" customWidth="1"/>
    <col min="2" max="2" width="26.140625" style="37" customWidth="1"/>
    <col min="3" max="3" width="13.5703125" style="5" customWidth="1"/>
    <col min="4" max="4" width="15.85546875" style="5" customWidth="1"/>
    <col min="5" max="6" width="14.140625" style="5" customWidth="1"/>
    <col min="7" max="7" width="14.28515625" style="5" customWidth="1"/>
    <col min="8" max="8" width="12.42578125" style="5" customWidth="1"/>
    <col min="9" max="9" width="15.28515625" style="5" customWidth="1"/>
    <col min="10" max="10" width="13" style="5" bestFit="1" customWidth="1"/>
    <col min="11" max="11" width="14.7109375" style="5" customWidth="1"/>
    <col min="12" max="12" width="16.85546875" style="5" customWidth="1"/>
    <col min="13" max="13" width="19.140625" style="5" customWidth="1"/>
    <col min="14" max="14" width="15.85546875" style="5" customWidth="1"/>
    <col min="15" max="15" width="15.5703125" style="8" customWidth="1"/>
    <col min="16" max="16" width="13" style="8" bestFit="1" customWidth="1"/>
    <col min="17" max="17" width="13.42578125" style="8" customWidth="1"/>
    <col min="18" max="18" width="14" style="8" customWidth="1"/>
    <col min="19" max="19" width="13" style="8" bestFit="1" customWidth="1"/>
    <col min="20" max="20" width="13.5703125" style="8" customWidth="1"/>
    <col min="21" max="21" width="12.85546875" style="8" customWidth="1"/>
    <col min="22" max="22" width="13" style="8" bestFit="1" customWidth="1"/>
    <col min="23" max="23" width="15.28515625" style="8" customWidth="1"/>
    <col min="24" max="24" width="14.7109375" style="8" customWidth="1"/>
    <col min="25" max="25" width="13" style="8" bestFit="1" customWidth="1"/>
    <col min="26" max="26" width="18" style="8" customWidth="1"/>
    <col min="27" max="27" width="13" style="8" customWidth="1"/>
    <col min="28" max="28" width="15.5703125" style="8" customWidth="1"/>
    <col min="29" max="56" width="9.140625" style="8"/>
    <col min="57" max="205" width="9.140625" style="9"/>
    <col min="206" max="225" width="9.140625" style="8"/>
    <col min="226" max="16384" width="9.140625" style="9"/>
  </cols>
  <sheetData>
    <row r="1" spans="1:225" x14ac:dyDescent="0.25">
      <c r="AA1" s="8" t="s">
        <v>26</v>
      </c>
    </row>
    <row r="3" spans="1:225" s="2" customFormat="1" ht="22.5" customHeight="1" x14ac:dyDescent="0.3">
      <c r="A3" s="94" t="s">
        <v>69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</row>
    <row r="4" spans="1:225" x14ac:dyDescent="0.25">
      <c r="B4" s="4"/>
      <c r="N4" s="6"/>
      <c r="O4" s="7"/>
      <c r="P4" s="7"/>
      <c r="Q4" s="7"/>
      <c r="AB4" s="6" t="s">
        <v>0</v>
      </c>
    </row>
    <row r="5" spans="1:225" s="11" customFormat="1" ht="18" customHeight="1" x14ac:dyDescent="0.2">
      <c r="A5" s="95" t="s">
        <v>1</v>
      </c>
      <c r="B5" s="95"/>
      <c r="C5" s="96" t="s">
        <v>15</v>
      </c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6" t="s">
        <v>22</v>
      </c>
      <c r="P5" s="96"/>
      <c r="Q5" s="97"/>
      <c r="R5" s="97"/>
      <c r="S5" s="97"/>
      <c r="T5" s="97"/>
      <c r="U5" s="97"/>
      <c r="V5" s="97"/>
      <c r="W5" s="97"/>
      <c r="X5" s="97"/>
      <c r="Y5" s="97"/>
      <c r="Z5" s="97"/>
      <c r="AA5" s="101" t="s">
        <v>2</v>
      </c>
      <c r="AB5" s="101" t="s">
        <v>3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</row>
    <row r="6" spans="1:225" s="11" customFormat="1" ht="18.75" customHeight="1" x14ac:dyDescent="0.2">
      <c r="A6" s="95"/>
      <c r="B6" s="95"/>
      <c r="C6" s="96" t="s">
        <v>16</v>
      </c>
      <c r="D6" s="96"/>
      <c r="E6" s="96"/>
      <c r="F6" s="96" t="s">
        <v>17</v>
      </c>
      <c r="G6" s="96"/>
      <c r="H6" s="96"/>
      <c r="I6" s="96" t="s">
        <v>18</v>
      </c>
      <c r="J6" s="96"/>
      <c r="K6" s="96"/>
      <c r="L6" s="96" t="s">
        <v>19</v>
      </c>
      <c r="M6" s="96"/>
      <c r="N6" s="96"/>
      <c r="O6" s="96" t="s">
        <v>16</v>
      </c>
      <c r="P6" s="96"/>
      <c r="Q6" s="96"/>
      <c r="R6" s="96" t="s">
        <v>17</v>
      </c>
      <c r="S6" s="96"/>
      <c r="T6" s="96"/>
      <c r="U6" s="96" t="s">
        <v>18</v>
      </c>
      <c r="V6" s="96"/>
      <c r="W6" s="96"/>
      <c r="X6" s="96" t="s">
        <v>19</v>
      </c>
      <c r="Y6" s="96"/>
      <c r="Z6" s="96"/>
      <c r="AA6" s="102"/>
      <c r="AB6" s="102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</row>
    <row r="7" spans="1:225" s="11" customFormat="1" ht="18.75" customHeight="1" x14ac:dyDescent="0.2">
      <c r="A7" s="95"/>
      <c r="B7" s="95"/>
      <c r="C7" s="98" t="s">
        <v>4</v>
      </c>
      <c r="D7" s="96" t="s">
        <v>13</v>
      </c>
      <c r="E7" s="96"/>
      <c r="F7" s="98" t="s">
        <v>4</v>
      </c>
      <c r="G7" s="96" t="s">
        <v>13</v>
      </c>
      <c r="H7" s="96"/>
      <c r="I7" s="98" t="s">
        <v>4</v>
      </c>
      <c r="J7" s="96" t="s">
        <v>13</v>
      </c>
      <c r="K7" s="96"/>
      <c r="L7" s="98" t="s">
        <v>4</v>
      </c>
      <c r="M7" s="96" t="s">
        <v>13</v>
      </c>
      <c r="N7" s="96"/>
      <c r="O7" s="98" t="s">
        <v>4</v>
      </c>
      <c r="P7" s="96" t="s">
        <v>13</v>
      </c>
      <c r="Q7" s="96"/>
      <c r="R7" s="98" t="s">
        <v>4</v>
      </c>
      <c r="S7" s="96" t="s">
        <v>13</v>
      </c>
      <c r="T7" s="96"/>
      <c r="U7" s="98" t="s">
        <v>4</v>
      </c>
      <c r="V7" s="96" t="s">
        <v>13</v>
      </c>
      <c r="W7" s="96"/>
      <c r="X7" s="98" t="s">
        <v>4</v>
      </c>
      <c r="Y7" s="96" t="s">
        <v>13</v>
      </c>
      <c r="Z7" s="96"/>
      <c r="AA7" s="102"/>
      <c r="AB7" s="102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</row>
    <row r="8" spans="1:225" s="11" customFormat="1" ht="54" customHeight="1" thickBot="1" x14ac:dyDescent="0.25">
      <c r="A8" s="95"/>
      <c r="B8" s="95"/>
      <c r="C8" s="98"/>
      <c r="D8" s="12" t="s">
        <v>20</v>
      </c>
      <c r="E8" s="12" t="s">
        <v>21</v>
      </c>
      <c r="F8" s="98"/>
      <c r="G8" s="12" t="s">
        <v>20</v>
      </c>
      <c r="H8" s="12" t="s">
        <v>21</v>
      </c>
      <c r="I8" s="98"/>
      <c r="J8" s="12" t="s">
        <v>20</v>
      </c>
      <c r="K8" s="12" t="s">
        <v>21</v>
      </c>
      <c r="L8" s="98"/>
      <c r="M8" s="12" t="s">
        <v>20</v>
      </c>
      <c r="N8" s="12" t="s">
        <v>21</v>
      </c>
      <c r="O8" s="98"/>
      <c r="P8" s="12" t="s">
        <v>20</v>
      </c>
      <c r="Q8" s="12" t="s">
        <v>21</v>
      </c>
      <c r="R8" s="98"/>
      <c r="S8" s="12" t="s">
        <v>20</v>
      </c>
      <c r="T8" s="12" t="s">
        <v>21</v>
      </c>
      <c r="U8" s="98"/>
      <c r="V8" s="12" t="s">
        <v>20</v>
      </c>
      <c r="W8" s="12" t="s">
        <v>21</v>
      </c>
      <c r="X8" s="98"/>
      <c r="Y8" s="12" t="s">
        <v>20</v>
      </c>
      <c r="Z8" s="12" t="s">
        <v>21</v>
      </c>
      <c r="AA8" s="103"/>
      <c r="AB8" s="103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</row>
    <row r="9" spans="1:225" s="14" customFormat="1" ht="27" customHeight="1" thickBot="1" x14ac:dyDescent="0.25">
      <c r="A9" s="15">
        <v>1</v>
      </c>
      <c r="B9" s="21" t="s">
        <v>5</v>
      </c>
      <c r="C9" s="64"/>
      <c r="D9" s="40"/>
      <c r="E9" s="40"/>
      <c r="F9" s="64"/>
      <c r="G9" s="40"/>
      <c r="H9" s="40"/>
      <c r="I9" s="64"/>
      <c r="J9" s="40"/>
      <c r="K9" s="40"/>
      <c r="L9" s="64"/>
      <c r="M9" s="40"/>
      <c r="N9" s="40"/>
      <c r="O9" s="64"/>
      <c r="P9" s="40"/>
      <c r="Q9" s="40"/>
      <c r="R9" s="64"/>
      <c r="S9" s="40"/>
      <c r="T9" s="40"/>
      <c r="U9" s="64"/>
      <c r="V9" s="40"/>
      <c r="W9" s="40"/>
      <c r="X9" s="64"/>
      <c r="Y9" s="40"/>
      <c r="Z9" s="40"/>
      <c r="AA9" s="16"/>
      <c r="AB9" s="16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</row>
    <row r="10" spans="1:225" s="14" customFormat="1" ht="27" customHeight="1" thickBot="1" x14ac:dyDescent="0.25">
      <c r="A10" s="15">
        <v>2</v>
      </c>
      <c r="B10" s="21" t="s">
        <v>6</v>
      </c>
      <c r="C10" s="65"/>
      <c r="D10" s="20"/>
      <c r="E10" s="20"/>
      <c r="F10" s="65"/>
      <c r="G10" s="20"/>
      <c r="H10" s="20"/>
      <c r="I10" s="65"/>
      <c r="J10" s="20"/>
      <c r="K10" s="20"/>
      <c r="L10" s="65"/>
      <c r="M10" s="20"/>
      <c r="N10" s="20"/>
      <c r="O10" s="65"/>
      <c r="P10" s="20"/>
      <c r="Q10" s="20"/>
      <c r="R10" s="65"/>
      <c r="S10" s="20"/>
      <c r="T10" s="20"/>
      <c r="U10" s="65"/>
      <c r="V10" s="20"/>
      <c r="W10" s="20"/>
      <c r="X10" s="65"/>
      <c r="Y10" s="20"/>
      <c r="Z10" s="20"/>
      <c r="AA10" s="16"/>
      <c r="AB10" s="16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</row>
    <row r="11" spans="1:225" s="13" customFormat="1" ht="27" customHeight="1" x14ac:dyDescent="0.2">
      <c r="A11" s="15">
        <v>3</v>
      </c>
      <c r="B11" s="75" t="s">
        <v>7</v>
      </c>
      <c r="C11" s="65">
        <f>'отчет развернут за 12 мес 2019г'!C11</f>
        <v>0</v>
      </c>
      <c r="D11" s="65">
        <f>'отчет развернут за 12 мес 2019г'!D11</f>
        <v>0</v>
      </c>
      <c r="E11" s="65">
        <f>'отчет развернут за 12 мес 2019г'!E11</f>
        <v>0</v>
      </c>
      <c r="F11" s="65">
        <f>'план 19г развернутый'!F11</f>
        <v>720</v>
      </c>
      <c r="G11" s="54">
        <f>'план 19г развернутый'!G11</f>
        <v>0</v>
      </c>
      <c r="H11" s="54">
        <f>'план 19г развернутый'!H11</f>
        <v>720</v>
      </c>
      <c r="I11" s="65">
        <f>'отчет развернут за 12 мес 2019г'!I11</f>
        <v>870</v>
      </c>
      <c r="J11" s="65">
        <f>'отчет развернут за 12 мес 2019г'!J11</f>
        <v>0</v>
      </c>
      <c r="K11" s="65">
        <f>'отчет развернут за 12 мес 2019г'!K11</f>
        <v>870</v>
      </c>
      <c r="L11" s="65">
        <f>'отчет развернут за 12 мес 2019г'!L11</f>
        <v>870</v>
      </c>
      <c r="M11" s="65">
        <f>'отчет развернут за 12 мес 2019г'!M11</f>
        <v>0</v>
      </c>
      <c r="N11" s="65">
        <f>'отчет развернут за 12 мес 2019г'!N11</f>
        <v>870</v>
      </c>
      <c r="O11" s="65">
        <f>'отчет развернут за 12 мес 2019г'!O11</f>
        <v>525.03599999999994</v>
      </c>
      <c r="P11" s="65">
        <f>'отчет развернут за 12 мес 2019г'!P11</f>
        <v>161.874</v>
      </c>
      <c r="Q11" s="65">
        <f>'отчет развернут за 12 мес 2019г'!Q11</f>
        <v>363.16199999999998</v>
      </c>
      <c r="R11" s="65">
        <f>'отчет развернут за 12 мес 2019г'!R11</f>
        <v>1323.6139999999998</v>
      </c>
      <c r="S11" s="65">
        <f>'отчет развернут за 12 мес 2019г'!S11</f>
        <v>179.33199999999999</v>
      </c>
      <c r="T11" s="65">
        <f>'отчет развернут за 12 мес 2019г'!T11</f>
        <v>1144.2819999999999</v>
      </c>
      <c r="U11" s="65">
        <f>'отчет развернут за 12 мес 2019г'!U11</f>
        <v>1376.0889999999999</v>
      </c>
      <c r="V11" s="65">
        <f>'отчет развернут за 12 мес 2019г'!V11</f>
        <v>204.36699999999999</v>
      </c>
      <c r="W11" s="65">
        <f>'отчет развернут за 12 мес 2019г'!W11</f>
        <v>1171.722</v>
      </c>
      <c r="X11" s="65">
        <f>'отчет развернут за 12 мес 2019г'!X11</f>
        <v>6157.16</v>
      </c>
      <c r="Y11" s="65">
        <f>'отчет развернут за 12 мес 2019г'!Y11</f>
        <v>215.62799999999999</v>
      </c>
      <c r="Z11" s="65">
        <f>'отчет развернут за 12 мес 2019г'!Z11</f>
        <v>5941.5320000000011</v>
      </c>
      <c r="AA11" s="81">
        <f>X11/L11</f>
        <v>7.0771954022988508</v>
      </c>
      <c r="AB11" s="65">
        <f>X11-L11</f>
        <v>5287.16</v>
      </c>
    </row>
    <row r="12" spans="1:225" s="10" customFormat="1" ht="27" customHeight="1" x14ac:dyDescent="0.2">
      <c r="A12" s="15">
        <v>4</v>
      </c>
      <c r="B12" s="21" t="s">
        <v>8</v>
      </c>
      <c r="C12" s="66"/>
      <c r="D12" s="41"/>
      <c r="E12" s="41"/>
      <c r="F12" s="66"/>
      <c r="G12" s="55"/>
      <c r="H12" s="55"/>
      <c r="I12" s="66"/>
      <c r="J12" s="41"/>
      <c r="K12" s="41"/>
      <c r="L12" s="66"/>
      <c r="M12" s="41"/>
      <c r="N12" s="41"/>
      <c r="O12" s="66"/>
      <c r="P12" s="41"/>
      <c r="Q12" s="41"/>
      <c r="R12" s="66"/>
      <c r="S12" s="41"/>
      <c r="T12" s="41"/>
      <c r="U12" s="66"/>
      <c r="V12" s="41"/>
      <c r="W12" s="41"/>
      <c r="X12" s="66"/>
      <c r="Y12" s="41"/>
      <c r="Z12" s="41"/>
      <c r="AA12" s="82"/>
      <c r="AB12" s="39"/>
    </row>
    <row r="13" spans="1:225" s="10" customFormat="1" ht="27" customHeight="1" x14ac:dyDescent="0.2">
      <c r="A13" s="15">
        <v>5</v>
      </c>
      <c r="B13" s="21" t="s">
        <v>9</v>
      </c>
      <c r="C13" s="66"/>
      <c r="D13" s="41"/>
      <c r="E13" s="41"/>
      <c r="F13" s="66"/>
      <c r="G13" s="55"/>
      <c r="H13" s="55"/>
      <c r="I13" s="66"/>
      <c r="J13" s="41"/>
      <c r="K13" s="41"/>
      <c r="L13" s="66"/>
      <c r="M13" s="41"/>
      <c r="N13" s="41"/>
      <c r="O13" s="66"/>
      <c r="P13" s="41"/>
      <c r="Q13" s="41"/>
      <c r="R13" s="66"/>
      <c r="S13" s="41"/>
      <c r="T13" s="41"/>
      <c r="U13" s="66"/>
      <c r="V13" s="41"/>
      <c r="W13" s="41"/>
      <c r="X13" s="66"/>
      <c r="Y13" s="41"/>
      <c r="Z13" s="41"/>
      <c r="AA13" s="82"/>
      <c r="AB13" s="39"/>
    </row>
    <row r="14" spans="1:225" s="17" customFormat="1" ht="27" customHeight="1" x14ac:dyDescent="0.2">
      <c r="A14" s="15">
        <v>6</v>
      </c>
      <c r="B14" s="73" t="s">
        <v>10</v>
      </c>
      <c r="C14" s="67">
        <f>'отчет развернут за 12 мес 2019г'!C22</f>
        <v>2240</v>
      </c>
      <c r="D14" s="67">
        <f>'отчет развернут за 12 мес 2019г'!D22</f>
        <v>0</v>
      </c>
      <c r="E14" s="67">
        <f>'отчет развернут за 12 мес 2019г'!E22</f>
        <v>2240</v>
      </c>
      <c r="F14" s="67">
        <f>'план 19г развернутый'!F17</f>
        <v>4759.6499999999996</v>
      </c>
      <c r="G14" s="57">
        <f>'план 19г развернутый'!G17</f>
        <v>0</v>
      </c>
      <c r="H14" s="57">
        <f>'план 19г развернутый'!H17</f>
        <v>4759.6499999999996</v>
      </c>
      <c r="I14" s="67">
        <f>'отчет развернут за 12 мес 2019г'!I22</f>
        <v>6759.65</v>
      </c>
      <c r="J14" s="67">
        <f>'отчет развернут за 12 мес 2019г'!J22</f>
        <v>0</v>
      </c>
      <c r="K14" s="67">
        <f>'отчет развернут за 12 мес 2019г'!K22</f>
        <v>6759.65</v>
      </c>
      <c r="L14" s="67">
        <f>'отчет развернут за 12 мес 2019г'!L22</f>
        <v>6759.65</v>
      </c>
      <c r="M14" s="67">
        <f>'отчет развернут за 12 мес 2019г'!M22</f>
        <v>0</v>
      </c>
      <c r="N14" s="67">
        <f>'отчет развернут за 12 мес 2019г'!N22</f>
        <v>6759.65</v>
      </c>
      <c r="O14" s="67">
        <f>P14+Q14</f>
        <v>0</v>
      </c>
      <c r="P14" s="67"/>
      <c r="Q14" s="67">
        <f>'отчет развернут за 12 мес 2019г'!Q22</f>
        <v>0</v>
      </c>
      <c r="R14" s="67">
        <f>S14+T14</f>
        <v>672.16995999999995</v>
      </c>
      <c r="S14" s="67">
        <f>'отчет развернут за 12 мес 2019г'!S25</f>
        <v>0</v>
      </c>
      <c r="T14" s="67">
        <f>'отчет развернут за 12 мес 2019г'!T22</f>
        <v>672.16995999999995</v>
      </c>
      <c r="U14" s="67">
        <f>'отчет развернут за 12 мес 2019г'!U22</f>
        <v>3631.6279599999998</v>
      </c>
      <c r="V14" s="67">
        <f>'отчет развернут за 12 мес 2019г'!V22</f>
        <v>406.81800000000004</v>
      </c>
      <c r="W14" s="67">
        <f>'отчет развернут за 12 мес 2019г'!W22</f>
        <v>3224.8099599999996</v>
      </c>
      <c r="X14" s="67">
        <f>Z14+Y14</f>
        <v>7740.9209600000004</v>
      </c>
      <c r="Y14" s="67">
        <f>'отчет развернут за 12 мес 2019г'!Y22</f>
        <v>442.40100000000001</v>
      </c>
      <c r="Z14" s="67">
        <f>'отчет развернут за 12 мес 2019г'!Z22</f>
        <v>7298.5199600000005</v>
      </c>
      <c r="AA14" s="81">
        <f>X14/L14</f>
        <v>1.1451659420236255</v>
      </c>
      <c r="AB14" s="65">
        <f>X14-L14</f>
        <v>981.27096000000074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</row>
    <row r="15" spans="1:225" s="17" customFormat="1" ht="27" customHeight="1" x14ac:dyDescent="0.2">
      <c r="A15" s="15">
        <v>7</v>
      </c>
      <c r="B15" s="19" t="s">
        <v>11</v>
      </c>
      <c r="C15" s="67"/>
      <c r="D15" s="18"/>
      <c r="E15" s="18"/>
      <c r="F15" s="67"/>
      <c r="G15" s="57"/>
      <c r="H15" s="57"/>
      <c r="I15" s="67"/>
      <c r="J15" s="18"/>
      <c r="K15" s="18"/>
      <c r="L15" s="67"/>
      <c r="M15" s="18"/>
      <c r="N15" s="18"/>
      <c r="O15" s="67"/>
      <c r="P15" s="18"/>
      <c r="Q15" s="18"/>
      <c r="R15" s="67"/>
      <c r="S15" s="18"/>
      <c r="T15" s="18"/>
      <c r="U15" s="67"/>
      <c r="V15" s="18"/>
      <c r="W15" s="18"/>
      <c r="X15" s="67"/>
      <c r="Y15" s="18"/>
      <c r="Z15" s="18"/>
      <c r="AA15" s="83"/>
      <c r="AB15" s="16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</row>
    <row r="16" spans="1:225" s="23" customFormat="1" ht="27" customHeight="1" x14ac:dyDescent="0.25">
      <c r="A16" s="15">
        <v>8</v>
      </c>
      <c r="B16" s="74" t="s">
        <v>14</v>
      </c>
      <c r="C16" s="67">
        <f>'отчет развернут за 12 мес 2019г'!C37</f>
        <v>0</v>
      </c>
      <c r="D16" s="67">
        <f>'отчет развернут за 12 мес 2019г'!D37</f>
        <v>0</v>
      </c>
      <c r="E16" s="67">
        <f>'отчет развернут за 12 мес 2019г'!E37</f>
        <v>0</v>
      </c>
      <c r="F16" s="67">
        <f>'план 19г развернутый'!F23</f>
        <v>0</v>
      </c>
      <c r="G16" s="57">
        <f>'план 19г развернутый'!G23</f>
        <v>45</v>
      </c>
      <c r="H16" s="57">
        <f>'план 19г развернутый'!H23</f>
        <v>0</v>
      </c>
      <c r="I16" s="67">
        <f>'отчет развернут за 12 мес 2019г'!I37</f>
        <v>3294.44</v>
      </c>
      <c r="J16" s="67">
        <f>'отчет развернут за 12 мес 2019г'!J37</f>
        <v>296.94</v>
      </c>
      <c r="K16" s="67">
        <f>'отчет развернут за 12 мес 2019г'!K37</f>
        <v>2997.5</v>
      </c>
      <c r="L16" s="67">
        <f>'отчет развернут за 12 мес 2019г'!L37</f>
        <v>7267.1921610169484</v>
      </c>
      <c r="M16" s="67">
        <f>'отчет развернут за 12 мес 2019г'!M37</f>
        <v>1272.1921610169491</v>
      </c>
      <c r="N16" s="67">
        <f>'отчет развернут за 12 мес 2019г'!N37</f>
        <v>5995</v>
      </c>
      <c r="O16" s="67">
        <f>'отчет развернут за 12 мес 2019г'!O37</f>
        <v>0</v>
      </c>
      <c r="P16" s="67">
        <f>'отчет развернут за 12 мес 2019г'!P37</f>
        <v>0</v>
      </c>
      <c r="Q16" s="67">
        <f>'отчет развернут за 12 мес 2019г'!Q37</f>
        <v>0</v>
      </c>
      <c r="R16" s="67">
        <f>'отчет развернут за 12 мес 2019г'!R37</f>
        <v>0</v>
      </c>
      <c r="S16" s="67">
        <f>'отчет развернут за 12 мес 2019г'!S37</f>
        <v>0</v>
      </c>
      <c r="T16" s="67">
        <f>'отчет развернут за 12 мес 2019г'!T37</f>
        <v>0</v>
      </c>
      <c r="U16" s="67">
        <f>'отчет развернут за 12 мес 2019г'!U37</f>
        <v>0</v>
      </c>
      <c r="V16" s="67">
        <f>'отчет развернут за 12 мес 2019г'!V37</f>
        <v>0</v>
      </c>
      <c r="W16" s="67">
        <f>'отчет развернут за 12 мес 2019г'!W37</f>
        <v>0</v>
      </c>
      <c r="X16" s="67">
        <f>Y16+Z16</f>
        <v>29.616</v>
      </c>
      <c r="Y16" s="67">
        <f>'отчет развернут за 12 мес 2019г'!Y37</f>
        <v>8.3659999999999997</v>
      </c>
      <c r="Z16" s="67">
        <f>'отчет развернут за 12 мес 2019г'!Z37</f>
        <v>21.25</v>
      </c>
      <c r="AA16" s="84" t="e">
        <f>O16/C16</f>
        <v>#DIV/0!</v>
      </c>
      <c r="AB16" s="65">
        <f>X16-L16</f>
        <v>-7237.5761610169484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GW16" s="24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</row>
    <row r="17" spans="1:225" s="26" customFormat="1" ht="35.25" customHeight="1" x14ac:dyDescent="0.3">
      <c r="A17" s="42"/>
      <c r="B17" s="43" t="s">
        <v>12</v>
      </c>
      <c r="C17" s="68">
        <f>C11+C14+C16</f>
        <v>2240</v>
      </c>
      <c r="D17" s="44">
        <f t="shared" ref="D17:Z17" si="0">D11+D14+D16</f>
        <v>0</v>
      </c>
      <c r="E17" s="44">
        <f t="shared" si="0"/>
        <v>2240</v>
      </c>
      <c r="F17" s="68">
        <f t="shared" ref="F17:H17" si="1">F14+F16+F11</f>
        <v>5479.65</v>
      </c>
      <c r="G17" s="44">
        <f t="shared" si="1"/>
        <v>45</v>
      </c>
      <c r="H17" s="44">
        <f t="shared" si="1"/>
        <v>5479.65</v>
      </c>
      <c r="I17" s="68">
        <f t="shared" si="0"/>
        <v>10924.09</v>
      </c>
      <c r="J17" s="44">
        <f t="shared" si="0"/>
        <v>296.94</v>
      </c>
      <c r="K17" s="44">
        <f t="shared" si="0"/>
        <v>10627.15</v>
      </c>
      <c r="L17" s="68">
        <f>L11+L14+L16</f>
        <v>14896.842161016948</v>
      </c>
      <c r="M17" s="44">
        <f t="shared" si="0"/>
        <v>1272.1921610169491</v>
      </c>
      <c r="N17" s="44">
        <f t="shared" si="0"/>
        <v>13624.65</v>
      </c>
      <c r="O17" s="68">
        <f>O11+O14+O16</f>
        <v>525.03599999999994</v>
      </c>
      <c r="P17" s="44">
        <f t="shared" si="0"/>
        <v>161.874</v>
      </c>
      <c r="Q17" s="44">
        <f>Q11+Q14+Q16</f>
        <v>363.16199999999998</v>
      </c>
      <c r="R17" s="68">
        <f t="shared" si="0"/>
        <v>1995.7839599999998</v>
      </c>
      <c r="S17" s="44">
        <f t="shared" si="0"/>
        <v>179.33199999999999</v>
      </c>
      <c r="T17" s="44">
        <f t="shared" si="0"/>
        <v>1816.4519599999999</v>
      </c>
      <c r="U17" s="68">
        <f t="shared" si="0"/>
        <v>5007.7169599999997</v>
      </c>
      <c r="V17" s="44">
        <f t="shared" si="0"/>
        <v>611.18500000000006</v>
      </c>
      <c r="W17" s="44">
        <f t="shared" si="0"/>
        <v>4396.5319599999993</v>
      </c>
      <c r="X17" s="68">
        <f>X11+X14+X16</f>
        <v>13927.696959999999</v>
      </c>
      <c r="Y17" s="44">
        <f t="shared" si="0"/>
        <v>666.39499999999998</v>
      </c>
      <c r="Z17" s="44">
        <f t="shared" si="0"/>
        <v>13261.301960000001</v>
      </c>
      <c r="AA17" s="81">
        <f>X17/L17</f>
        <v>0.93494291001128593</v>
      </c>
      <c r="AB17" s="65">
        <f>X17-L17</f>
        <v>-969.1452010169487</v>
      </c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</row>
    <row r="18" spans="1:225" x14ac:dyDescent="0.25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AA18" s="76"/>
      <c r="AB18" s="76"/>
    </row>
    <row r="19" spans="1:225" x14ac:dyDescent="0.25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AA19" s="76"/>
      <c r="AB19" s="76"/>
    </row>
    <row r="20" spans="1:225" x14ac:dyDescent="0.25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AA20" s="76"/>
      <c r="AB20" s="76"/>
    </row>
    <row r="21" spans="1:225" x14ac:dyDescent="0.25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AA21" s="76"/>
      <c r="AB21" s="76"/>
    </row>
    <row r="22" spans="1:225" ht="23.25" x14ac:dyDescent="0.35">
      <c r="B22" s="27"/>
      <c r="C22" s="28"/>
      <c r="D22" s="45" t="s">
        <v>23</v>
      </c>
      <c r="E22" s="45"/>
      <c r="F22" s="45"/>
      <c r="G22" s="45"/>
      <c r="H22" s="45"/>
      <c r="I22" s="45"/>
      <c r="J22" s="45"/>
      <c r="K22" s="46" t="s">
        <v>65</v>
      </c>
      <c r="L22" s="45"/>
      <c r="M22" s="45"/>
      <c r="N22" s="45"/>
      <c r="O22" s="46"/>
      <c r="P22" s="46"/>
      <c r="Q22" s="46"/>
      <c r="R22" s="46"/>
    </row>
    <row r="23" spans="1:225" ht="30.75" customHeight="1" x14ac:dyDescent="0.25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225" ht="30.75" customHeight="1" x14ac:dyDescent="0.35">
      <c r="B24" s="27"/>
      <c r="C24" s="28"/>
      <c r="D24" s="45"/>
      <c r="E24" s="45"/>
      <c r="F24" s="45"/>
      <c r="G24" s="45"/>
      <c r="H24" s="45"/>
      <c r="I24" s="45"/>
      <c r="J24" s="45"/>
      <c r="K24" s="46"/>
      <c r="L24" s="28"/>
      <c r="M24" s="28"/>
      <c r="N24" s="28"/>
    </row>
    <row r="25" spans="1:225" ht="30.75" customHeight="1" x14ac:dyDescent="0.25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225" x14ac:dyDescent="0.25">
      <c r="B26" s="4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225" x14ac:dyDescent="0.25">
      <c r="B27" s="4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225" x14ac:dyDescent="0.2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225" s="32" customFormat="1" ht="18.75" x14ac:dyDescent="0.3">
      <c r="A29" s="29"/>
      <c r="B29" s="99"/>
      <c r="C29" s="99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</row>
    <row r="30" spans="1:225" s="32" customFormat="1" ht="18.75" x14ac:dyDescent="0.3">
      <c r="A30" s="29"/>
      <c r="B30" s="33"/>
      <c r="C30" s="33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</row>
    <row r="31" spans="1:225" s="32" customFormat="1" ht="18.75" x14ac:dyDescent="0.3">
      <c r="A31" s="29"/>
      <c r="B31" s="35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</row>
    <row r="32" spans="1:225" s="32" customFormat="1" ht="18.75" x14ac:dyDescent="0.3">
      <c r="A32" s="29"/>
      <c r="B32" s="35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</row>
    <row r="33" spans="1:225" s="32" customFormat="1" ht="18.75" x14ac:dyDescent="0.3">
      <c r="A33" s="29"/>
      <c r="B33" s="93"/>
      <c r="C33" s="93"/>
      <c r="D33" s="3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</row>
    <row r="34" spans="1:225" s="32" customFormat="1" ht="18.75" x14ac:dyDescent="0.3">
      <c r="A34" s="29"/>
      <c r="B34" s="36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</row>
    <row r="35" spans="1:225" s="8" customFormat="1" x14ac:dyDescent="0.25">
      <c r="A35" s="3"/>
      <c r="B35" s="3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</row>
    <row r="36" spans="1:225" s="8" customFormat="1" x14ac:dyDescent="0.25">
      <c r="A36" s="3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</row>
    <row r="37" spans="1:225" s="8" customFormat="1" x14ac:dyDescent="0.25">
      <c r="A37" s="3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</row>
    <row r="38" spans="1:225" s="8" customFormat="1" x14ac:dyDescent="0.25">
      <c r="A38" s="3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</row>
    <row r="39" spans="1:225" s="8" customFormat="1" x14ac:dyDescent="0.25">
      <c r="A39" s="3"/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</row>
    <row r="40" spans="1:225" s="8" customFormat="1" x14ac:dyDescent="0.25">
      <c r="A40" s="3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</row>
    <row r="41" spans="1:225" s="8" customFormat="1" x14ac:dyDescent="0.25">
      <c r="A41" s="3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</row>
    <row r="42" spans="1:225" s="8" customFormat="1" x14ac:dyDescent="0.25">
      <c r="A42" s="3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</row>
    <row r="43" spans="1:225" s="8" customFormat="1" x14ac:dyDescent="0.25">
      <c r="A43" s="3"/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</row>
  </sheetData>
  <mergeCells count="33">
    <mergeCell ref="A3:AB3"/>
    <mergeCell ref="L6:N6"/>
    <mergeCell ref="D7:E7"/>
    <mergeCell ref="AB5:AB8"/>
    <mergeCell ref="S7:T7"/>
    <mergeCell ref="U7:U8"/>
    <mergeCell ref="V7:W7"/>
    <mergeCell ref="X7:X8"/>
    <mergeCell ref="Y7:Z7"/>
    <mergeCell ref="AA5:AA8"/>
    <mergeCell ref="A5:A8"/>
    <mergeCell ref="B5:B8"/>
    <mergeCell ref="C5:N5"/>
    <mergeCell ref="C6:E6"/>
    <mergeCell ref="F6:H6"/>
    <mergeCell ref="R7:R8"/>
    <mergeCell ref="O5:Z5"/>
    <mergeCell ref="O6:Q6"/>
    <mergeCell ref="R6:T6"/>
    <mergeCell ref="U6:W6"/>
    <mergeCell ref="X6:Z6"/>
    <mergeCell ref="I6:K6"/>
    <mergeCell ref="B29:N29"/>
    <mergeCell ref="B33:C33"/>
    <mergeCell ref="C7:C8"/>
    <mergeCell ref="P7:Q7"/>
    <mergeCell ref="L7:L8"/>
    <mergeCell ref="M7:N7"/>
    <mergeCell ref="F7:F8"/>
    <mergeCell ref="G7:H7"/>
    <mergeCell ref="I7:I8"/>
    <mergeCell ref="J7:K7"/>
    <mergeCell ref="O7:O8"/>
  </mergeCells>
  <printOptions horizontalCentered="1"/>
  <pageMargins left="0.19685039370078741" right="0.19685039370078741" top="0.98425196850393704" bottom="0.39370078740157483" header="0.15748031496062992" footer="0.19685039370078741"/>
  <pageSetup paperSize="9" scale="35" fitToHeight="0" orientation="landscape" blackAndWhite="1" r:id="rId1"/>
  <headerFooter alignWithMargins="0"/>
  <rowBreaks count="1" manualBreakCount="1">
    <brk id="33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79"/>
  <sheetViews>
    <sheetView tabSelected="1" zoomScale="75" zoomScaleNormal="75" zoomScaleSheetLayoutView="7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N63" sqref="N63"/>
    </sheetView>
  </sheetViews>
  <sheetFormatPr defaultRowHeight="15.75" x14ac:dyDescent="0.25"/>
  <cols>
    <col min="1" max="1" width="6.140625" style="3" customWidth="1"/>
    <col min="2" max="2" width="52.28515625" style="37" customWidth="1"/>
    <col min="3" max="3" width="14.140625" style="5" customWidth="1"/>
    <col min="4" max="4" width="14.42578125" style="5" bestFit="1" customWidth="1"/>
    <col min="5" max="5" width="14.7109375" style="5" customWidth="1"/>
    <col min="6" max="6" width="19" style="5" customWidth="1"/>
    <col min="7" max="7" width="14.28515625" style="5" customWidth="1"/>
    <col min="8" max="8" width="15.7109375" style="5" customWidth="1"/>
    <col min="9" max="9" width="18.42578125" style="5" customWidth="1"/>
    <col min="10" max="10" width="14.85546875" style="5" customWidth="1"/>
    <col min="11" max="11" width="17.28515625" style="5" customWidth="1"/>
    <col min="12" max="12" width="14.140625" style="5" customWidth="1"/>
    <col min="13" max="13" width="14.42578125" style="5" bestFit="1" customWidth="1"/>
    <col min="14" max="14" width="16.7109375" style="5" customWidth="1"/>
    <col min="15" max="15" width="14.5703125" style="8" customWidth="1"/>
    <col min="16" max="16" width="14.28515625" style="8" customWidth="1"/>
    <col min="17" max="17" width="15.7109375" style="8" customWidth="1"/>
    <col min="18" max="18" width="15.85546875" style="8" customWidth="1"/>
    <col min="19" max="19" width="13" style="8" bestFit="1" customWidth="1"/>
    <col min="20" max="20" width="14.28515625" style="8" customWidth="1"/>
    <col min="21" max="21" width="13" style="8" customWidth="1"/>
    <col min="22" max="22" width="13" style="8" bestFit="1" customWidth="1"/>
    <col min="23" max="23" width="13.42578125" style="8" customWidth="1"/>
    <col min="24" max="24" width="14.85546875" style="8" customWidth="1"/>
    <col min="25" max="25" width="13" style="8" bestFit="1" customWidth="1"/>
    <col min="26" max="26" width="16.5703125" style="8" customWidth="1"/>
    <col min="27" max="27" width="20.5703125" style="8" customWidth="1"/>
    <col min="28" max="28" width="20.85546875" style="8" customWidth="1"/>
    <col min="29" max="56" width="9.140625" style="8"/>
    <col min="57" max="205" width="9.140625" style="9"/>
    <col min="206" max="225" width="9.140625" style="8"/>
    <col min="226" max="16384" width="9.140625" style="9"/>
  </cols>
  <sheetData>
    <row r="1" spans="1:225" x14ac:dyDescent="0.25">
      <c r="AA1" s="8" t="s">
        <v>29</v>
      </c>
    </row>
    <row r="3" spans="1:225" s="2" customFormat="1" ht="22.5" customHeight="1" x14ac:dyDescent="0.3">
      <c r="A3" s="94" t="s">
        <v>66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</row>
    <row r="4" spans="1:225" x14ac:dyDescent="0.25">
      <c r="B4" s="4"/>
      <c r="N4" s="6"/>
      <c r="O4" s="7"/>
      <c r="P4" s="7"/>
      <c r="Q4" s="7"/>
      <c r="AB4" s="6" t="s">
        <v>0</v>
      </c>
    </row>
    <row r="5" spans="1:225" s="11" customFormat="1" ht="18" customHeight="1" x14ac:dyDescent="0.2">
      <c r="A5" s="95" t="s">
        <v>1</v>
      </c>
      <c r="B5" s="95"/>
      <c r="C5" s="96" t="s">
        <v>15</v>
      </c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6" t="s">
        <v>22</v>
      </c>
      <c r="P5" s="96"/>
      <c r="Q5" s="97"/>
      <c r="R5" s="97"/>
      <c r="S5" s="97"/>
      <c r="T5" s="97"/>
      <c r="U5" s="97"/>
      <c r="V5" s="97"/>
      <c r="W5" s="97"/>
      <c r="X5" s="97"/>
      <c r="Y5" s="97"/>
      <c r="Z5" s="97"/>
      <c r="AA5" s="104" t="s">
        <v>68</v>
      </c>
      <c r="AB5" s="101" t="s">
        <v>67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</row>
    <row r="6" spans="1:225" s="11" customFormat="1" ht="18.75" customHeight="1" x14ac:dyDescent="0.2">
      <c r="A6" s="95"/>
      <c r="B6" s="95"/>
      <c r="C6" s="96" t="s">
        <v>16</v>
      </c>
      <c r="D6" s="96"/>
      <c r="E6" s="96"/>
      <c r="F6" s="96" t="s">
        <v>17</v>
      </c>
      <c r="G6" s="96"/>
      <c r="H6" s="96"/>
      <c r="I6" s="96" t="s">
        <v>18</v>
      </c>
      <c r="J6" s="96"/>
      <c r="K6" s="96"/>
      <c r="L6" s="96" t="s">
        <v>19</v>
      </c>
      <c r="M6" s="96"/>
      <c r="N6" s="96"/>
      <c r="O6" s="96" t="s">
        <v>16</v>
      </c>
      <c r="P6" s="96"/>
      <c r="Q6" s="96"/>
      <c r="R6" s="96" t="s">
        <v>17</v>
      </c>
      <c r="S6" s="96"/>
      <c r="T6" s="96"/>
      <c r="U6" s="96" t="s">
        <v>18</v>
      </c>
      <c r="V6" s="96"/>
      <c r="W6" s="96"/>
      <c r="X6" s="96" t="s">
        <v>19</v>
      </c>
      <c r="Y6" s="96"/>
      <c r="Z6" s="96"/>
      <c r="AA6" s="105"/>
      <c r="AB6" s="102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</row>
    <row r="7" spans="1:225" s="11" customFormat="1" ht="18.75" customHeight="1" x14ac:dyDescent="0.2">
      <c r="A7" s="95"/>
      <c r="B7" s="95"/>
      <c r="C7" s="98" t="s">
        <v>4</v>
      </c>
      <c r="D7" s="96" t="s">
        <v>13</v>
      </c>
      <c r="E7" s="96"/>
      <c r="F7" s="98" t="s">
        <v>4</v>
      </c>
      <c r="G7" s="96" t="s">
        <v>13</v>
      </c>
      <c r="H7" s="96"/>
      <c r="I7" s="98" t="s">
        <v>4</v>
      </c>
      <c r="J7" s="96" t="s">
        <v>13</v>
      </c>
      <c r="K7" s="96"/>
      <c r="L7" s="98" t="s">
        <v>4</v>
      </c>
      <c r="M7" s="96" t="s">
        <v>13</v>
      </c>
      <c r="N7" s="96"/>
      <c r="O7" s="98" t="s">
        <v>4</v>
      </c>
      <c r="P7" s="96" t="s">
        <v>13</v>
      </c>
      <c r="Q7" s="96"/>
      <c r="R7" s="98" t="s">
        <v>4</v>
      </c>
      <c r="S7" s="96" t="s">
        <v>13</v>
      </c>
      <c r="T7" s="96"/>
      <c r="U7" s="98" t="s">
        <v>4</v>
      </c>
      <c r="V7" s="96" t="s">
        <v>13</v>
      </c>
      <c r="W7" s="96"/>
      <c r="X7" s="98" t="s">
        <v>4</v>
      </c>
      <c r="Y7" s="96" t="s">
        <v>13</v>
      </c>
      <c r="Z7" s="96"/>
      <c r="AA7" s="105"/>
      <c r="AB7" s="102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</row>
    <row r="8" spans="1:225" s="11" customFormat="1" ht="60.75" customHeight="1" thickBot="1" x14ac:dyDescent="0.25">
      <c r="A8" s="95"/>
      <c r="B8" s="95"/>
      <c r="C8" s="98"/>
      <c r="D8" s="38" t="s">
        <v>20</v>
      </c>
      <c r="E8" s="38" t="s">
        <v>21</v>
      </c>
      <c r="F8" s="98"/>
      <c r="G8" s="38" t="s">
        <v>20</v>
      </c>
      <c r="H8" s="38" t="s">
        <v>21</v>
      </c>
      <c r="I8" s="98"/>
      <c r="J8" s="38" t="s">
        <v>20</v>
      </c>
      <c r="K8" s="38" t="s">
        <v>21</v>
      </c>
      <c r="L8" s="98"/>
      <c r="M8" s="38" t="s">
        <v>20</v>
      </c>
      <c r="N8" s="38" t="s">
        <v>21</v>
      </c>
      <c r="O8" s="98"/>
      <c r="P8" s="88" t="s">
        <v>20</v>
      </c>
      <c r="Q8" s="88" t="s">
        <v>21</v>
      </c>
      <c r="R8" s="98"/>
      <c r="S8" s="88" t="s">
        <v>20</v>
      </c>
      <c r="T8" s="88" t="s">
        <v>21</v>
      </c>
      <c r="U8" s="98"/>
      <c r="V8" s="88" t="s">
        <v>20</v>
      </c>
      <c r="W8" s="88" t="s">
        <v>21</v>
      </c>
      <c r="X8" s="98"/>
      <c r="Y8" s="88" t="s">
        <v>20</v>
      </c>
      <c r="Z8" s="88" t="s">
        <v>21</v>
      </c>
      <c r="AA8" s="106"/>
      <c r="AB8" s="103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</row>
    <row r="9" spans="1:225" s="14" customFormat="1" ht="27" customHeight="1" thickBot="1" x14ac:dyDescent="0.25">
      <c r="A9" s="15">
        <v>1</v>
      </c>
      <c r="B9" s="72" t="s">
        <v>5</v>
      </c>
      <c r="C9" s="63">
        <f t="shared" ref="C9:C10" si="0">SUM(C10:C17)</f>
        <v>0</v>
      </c>
      <c r="D9" s="40"/>
      <c r="E9" s="40"/>
      <c r="F9" s="64"/>
      <c r="G9" s="40"/>
      <c r="H9" s="40"/>
      <c r="I9" s="64"/>
      <c r="J9" s="40"/>
      <c r="K9" s="40"/>
      <c r="L9" s="64"/>
      <c r="M9" s="40"/>
      <c r="N9" s="40"/>
      <c r="O9" s="65"/>
      <c r="P9" s="20"/>
      <c r="Q9" s="20"/>
      <c r="R9" s="65"/>
      <c r="S9" s="20"/>
      <c r="T9" s="20"/>
      <c r="U9" s="65"/>
      <c r="V9" s="20"/>
      <c r="W9" s="20"/>
      <c r="X9" s="78"/>
      <c r="Y9" s="20"/>
      <c r="Z9" s="20"/>
      <c r="AA9" s="65"/>
      <c r="AB9" s="20">
        <f>O9-C9</f>
        <v>0</v>
      </c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</row>
    <row r="10" spans="1:225" s="14" customFormat="1" ht="27" customHeight="1" thickBot="1" x14ac:dyDescent="0.25">
      <c r="A10" s="15">
        <v>2</v>
      </c>
      <c r="B10" s="72" t="s">
        <v>6</v>
      </c>
      <c r="C10" s="63">
        <f t="shared" si="0"/>
        <v>0</v>
      </c>
      <c r="D10" s="20"/>
      <c r="E10" s="20"/>
      <c r="F10" s="65"/>
      <c r="G10" s="20"/>
      <c r="H10" s="20"/>
      <c r="I10" s="65"/>
      <c r="J10" s="20"/>
      <c r="K10" s="20"/>
      <c r="L10" s="65"/>
      <c r="M10" s="20"/>
      <c r="N10" s="20"/>
      <c r="O10" s="65"/>
      <c r="P10" s="20"/>
      <c r="Q10" s="20"/>
      <c r="R10" s="65"/>
      <c r="S10" s="20"/>
      <c r="T10" s="20"/>
      <c r="U10" s="65"/>
      <c r="V10" s="20"/>
      <c r="W10" s="20"/>
      <c r="X10" s="78"/>
      <c r="Y10" s="20"/>
      <c r="Z10" s="20"/>
      <c r="AA10" s="65"/>
      <c r="AB10" s="20">
        <f t="shared" ref="AB10" si="1">O10-C10</f>
        <v>0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</row>
    <row r="11" spans="1:225" s="13" customFormat="1" ht="27" customHeight="1" x14ac:dyDescent="0.2">
      <c r="A11" s="15">
        <v>3</v>
      </c>
      <c r="B11" s="72" t="s">
        <v>24</v>
      </c>
      <c r="C11" s="63">
        <f>SUM(C12:C19)</f>
        <v>0</v>
      </c>
      <c r="D11" s="63">
        <f t="shared" ref="D11:N11" si="2">SUM(D12:D19)</f>
        <v>0</v>
      </c>
      <c r="E11" s="63">
        <f t="shared" si="2"/>
        <v>0</v>
      </c>
      <c r="F11" s="63">
        <f t="shared" si="2"/>
        <v>720</v>
      </c>
      <c r="G11" s="63">
        <f t="shared" si="2"/>
        <v>0</v>
      </c>
      <c r="H11" s="63">
        <f t="shared" si="2"/>
        <v>720</v>
      </c>
      <c r="I11" s="63">
        <f t="shared" si="2"/>
        <v>870</v>
      </c>
      <c r="J11" s="63">
        <f t="shared" si="2"/>
        <v>0</v>
      </c>
      <c r="K11" s="63">
        <f t="shared" si="2"/>
        <v>870</v>
      </c>
      <c r="L11" s="63">
        <f t="shared" si="2"/>
        <v>870</v>
      </c>
      <c r="M11" s="63">
        <f t="shared" si="2"/>
        <v>0</v>
      </c>
      <c r="N11" s="63">
        <f t="shared" si="2"/>
        <v>870</v>
      </c>
      <c r="O11" s="63">
        <f t="shared" ref="O11:X11" si="3">SUM(O12:O21)</f>
        <v>525.03599999999994</v>
      </c>
      <c r="P11" s="63">
        <f t="shared" si="3"/>
        <v>161.874</v>
      </c>
      <c r="Q11" s="63">
        <f t="shared" si="3"/>
        <v>363.16199999999998</v>
      </c>
      <c r="R11" s="63">
        <f t="shared" si="3"/>
        <v>1323.6139999999998</v>
      </c>
      <c r="S11" s="63">
        <f t="shared" si="3"/>
        <v>179.33199999999999</v>
      </c>
      <c r="T11" s="63">
        <f t="shared" si="3"/>
        <v>1144.2819999999999</v>
      </c>
      <c r="U11" s="63">
        <f t="shared" si="3"/>
        <v>1376.0889999999999</v>
      </c>
      <c r="V11" s="63">
        <f t="shared" si="3"/>
        <v>204.36699999999999</v>
      </c>
      <c r="W11" s="63">
        <f t="shared" si="3"/>
        <v>1171.722</v>
      </c>
      <c r="X11" s="63">
        <f t="shared" si="3"/>
        <v>6157.16</v>
      </c>
      <c r="Y11" s="63">
        <f t="shared" ref="Y11:Z11" si="4">SUM(Y12:Y21)</f>
        <v>215.62799999999999</v>
      </c>
      <c r="Z11" s="63">
        <f t="shared" si="4"/>
        <v>5941.5320000000011</v>
      </c>
      <c r="AA11" s="85">
        <f>X11/L11</f>
        <v>7.0771954022988508</v>
      </c>
      <c r="AB11" s="20">
        <f>X11-L11</f>
        <v>5287.16</v>
      </c>
    </row>
    <row r="12" spans="1:225" s="13" customFormat="1" ht="48.75" customHeight="1" x14ac:dyDescent="0.2">
      <c r="A12" s="59" t="s">
        <v>39</v>
      </c>
      <c r="B12" s="19" t="s">
        <v>81</v>
      </c>
      <c r="C12" s="63">
        <f>D12+E12</f>
        <v>0</v>
      </c>
      <c r="D12" s="57">
        <v>0</v>
      </c>
      <c r="E12" s="57">
        <v>0</v>
      </c>
      <c r="F12" s="63">
        <f>H12+G12</f>
        <v>650</v>
      </c>
      <c r="G12" s="57">
        <f>D12</f>
        <v>0</v>
      </c>
      <c r="H12" s="57">
        <v>650</v>
      </c>
      <c r="I12" s="63">
        <f>J12+K12</f>
        <v>800</v>
      </c>
      <c r="J12" s="57">
        <f>G12</f>
        <v>0</v>
      </c>
      <c r="K12" s="57">
        <v>800</v>
      </c>
      <c r="L12" s="63">
        <f>M12+N12</f>
        <v>800</v>
      </c>
      <c r="M12" s="57">
        <f>J12</f>
        <v>0</v>
      </c>
      <c r="N12" s="57">
        <f>K12</f>
        <v>800</v>
      </c>
      <c r="O12" s="65">
        <f>P12+Q12</f>
        <v>363.16199999999998</v>
      </c>
      <c r="P12" s="89">
        <v>0</v>
      </c>
      <c r="Q12" s="89">
        <v>363.16199999999998</v>
      </c>
      <c r="R12" s="65">
        <f>S12+T12</f>
        <v>720.43999999999994</v>
      </c>
      <c r="S12" s="89">
        <f>3.95+13.508</f>
        <v>17.457999999999998</v>
      </c>
      <c r="T12" s="89">
        <f>Q12+276.08+63.74</f>
        <v>702.98199999999997</v>
      </c>
      <c r="U12" s="65">
        <f>V12+W12</f>
        <v>772.91499999999996</v>
      </c>
      <c r="V12" s="89">
        <f>S12+25.035</f>
        <v>42.492999999999995</v>
      </c>
      <c r="W12" s="89">
        <f>T12+27.44</f>
        <v>730.42200000000003</v>
      </c>
      <c r="X12" s="65">
        <f>Y12+Z12</f>
        <v>3275.625</v>
      </c>
      <c r="Y12" s="89">
        <f>V12</f>
        <v>42.492999999999995</v>
      </c>
      <c r="Z12" s="89">
        <f>W12+2502.71</f>
        <v>3233.1320000000001</v>
      </c>
      <c r="AA12" s="86"/>
      <c r="AB12" s="20"/>
    </row>
    <row r="13" spans="1:225" s="13" customFormat="1" ht="34.5" customHeight="1" x14ac:dyDescent="0.2">
      <c r="A13" s="59" t="s">
        <v>40</v>
      </c>
      <c r="B13" s="19" t="s">
        <v>43</v>
      </c>
      <c r="C13" s="63">
        <f t="shared" ref="C13:C51" si="5">D13+E13</f>
        <v>0</v>
      </c>
      <c r="D13" s="57">
        <v>0</v>
      </c>
      <c r="E13" s="57">
        <v>0</v>
      </c>
      <c r="F13" s="63">
        <f t="shared" ref="F13:F21" si="6">H13+G13</f>
        <v>70</v>
      </c>
      <c r="G13" s="57">
        <f t="shared" ref="G13:G21" si="7">D13</f>
        <v>0</v>
      </c>
      <c r="H13" s="57">
        <v>70</v>
      </c>
      <c r="I13" s="63">
        <f t="shared" ref="I13:I21" si="8">J13+K13</f>
        <v>70</v>
      </c>
      <c r="J13" s="57">
        <f t="shared" ref="J13:J21" si="9">G13</f>
        <v>0</v>
      </c>
      <c r="K13" s="57">
        <f>H13</f>
        <v>70</v>
      </c>
      <c r="L13" s="63">
        <f t="shared" ref="L13:L21" si="10">M13+N13</f>
        <v>70</v>
      </c>
      <c r="M13" s="57">
        <f t="shared" ref="M13:M21" si="11">J13</f>
        <v>0</v>
      </c>
      <c r="N13" s="57">
        <f>K13</f>
        <v>70</v>
      </c>
      <c r="O13" s="65">
        <f t="shared" ref="O13:O51" si="12">P13+Q13</f>
        <v>0</v>
      </c>
      <c r="P13" s="89">
        <v>0</v>
      </c>
      <c r="Q13" s="89">
        <v>0</v>
      </c>
      <c r="R13" s="65">
        <f t="shared" ref="R13:R51" si="13">S13+T13</f>
        <v>0</v>
      </c>
      <c r="S13" s="18">
        <f>P13</f>
        <v>0</v>
      </c>
      <c r="T13" s="89">
        <f>Q13</f>
        <v>0</v>
      </c>
      <c r="U13" s="65">
        <f t="shared" ref="U13:U51" si="14">V13+W13</f>
        <v>0</v>
      </c>
      <c r="V13" s="89">
        <f>S13</f>
        <v>0</v>
      </c>
      <c r="W13" s="89">
        <f>T13</f>
        <v>0</v>
      </c>
      <c r="X13" s="65">
        <f t="shared" ref="X13:X51" si="15">Y13+Z13</f>
        <v>0</v>
      </c>
      <c r="Y13" s="89">
        <f t="shared" ref="Y13:Y21" si="16">V13</f>
        <v>0</v>
      </c>
      <c r="Z13" s="89">
        <f t="shared" ref="Z13:Z21" si="17">W13</f>
        <v>0</v>
      </c>
      <c r="AA13" s="86"/>
      <c r="AB13" s="20"/>
    </row>
    <row r="14" spans="1:225" s="13" customFormat="1" ht="34.5" customHeight="1" x14ac:dyDescent="0.2">
      <c r="A14" s="59" t="s">
        <v>41</v>
      </c>
      <c r="B14" s="19" t="s">
        <v>80</v>
      </c>
      <c r="C14" s="63">
        <f t="shared" si="5"/>
        <v>0</v>
      </c>
      <c r="D14" s="57">
        <v>0</v>
      </c>
      <c r="E14" s="57">
        <v>0</v>
      </c>
      <c r="F14" s="63">
        <f t="shared" si="6"/>
        <v>0</v>
      </c>
      <c r="G14" s="57">
        <f t="shared" si="7"/>
        <v>0</v>
      </c>
      <c r="H14" s="57">
        <f>E14</f>
        <v>0</v>
      </c>
      <c r="I14" s="63">
        <f t="shared" si="8"/>
        <v>0</v>
      </c>
      <c r="J14" s="57">
        <f t="shared" si="9"/>
        <v>0</v>
      </c>
      <c r="K14" s="57">
        <f t="shared" ref="K14:K21" si="18">H14</f>
        <v>0</v>
      </c>
      <c r="L14" s="63">
        <f t="shared" si="10"/>
        <v>0</v>
      </c>
      <c r="M14" s="57">
        <f t="shared" si="11"/>
        <v>0</v>
      </c>
      <c r="N14" s="57">
        <f>K14</f>
        <v>0</v>
      </c>
      <c r="O14" s="65">
        <f t="shared" si="12"/>
        <v>0</v>
      </c>
      <c r="P14" s="89">
        <v>0</v>
      </c>
      <c r="Q14" s="89">
        <v>0</v>
      </c>
      <c r="R14" s="65">
        <f t="shared" si="13"/>
        <v>0</v>
      </c>
      <c r="S14" s="18">
        <f t="shared" ref="S14:S21" si="19">P14</f>
        <v>0</v>
      </c>
      <c r="T14" s="89">
        <f t="shared" ref="T14:T17" si="20">Q14</f>
        <v>0</v>
      </c>
      <c r="U14" s="65">
        <f t="shared" si="14"/>
        <v>0</v>
      </c>
      <c r="V14" s="89">
        <f t="shared" ref="V14:V21" si="21">S14</f>
        <v>0</v>
      </c>
      <c r="W14" s="89">
        <f t="shared" ref="W14:W17" si="22">T14</f>
        <v>0</v>
      </c>
      <c r="X14" s="65">
        <f t="shared" si="15"/>
        <v>1458.82</v>
      </c>
      <c r="Y14" s="89">
        <f t="shared" ref="Y14" si="23">V14</f>
        <v>0</v>
      </c>
      <c r="Z14" s="89">
        <f>W14+1458.82</f>
        <v>1458.82</v>
      </c>
      <c r="AA14" s="86"/>
      <c r="AB14" s="20"/>
    </row>
    <row r="15" spans="1:225" s="13" customFormat="1" ht="34.5" customHeight="1" x14ac:dyDescent="0.2">
      <c r="A15" s="59" t="s">
        <v>89</v>
      </c>
      <c r="B15" s="19" t="s">
        <v>82</v>
      </c>
      <c r="C15" s="63">
        <f t="shared" si="5"/>
        <v>0</v>
      </c>
      <c r="D15" s="57">
        <v>0</v>
      </c>
      <c r="E15" s="57">
        <v>0</v>
      </c>
      <c r="F15" s="63">
        <f t="shared" si="6"/>
        <v>0</v>
      </c>
      <c r="G15" s="57">
        <f t="shared" si="7"/>
        <v>0</v>
      </c>
      <c r="H15" s="57">
        <f t="shared" ref="H15:H21" si="24">E15</f>
        <v>0</v>
      </c>
      <c r="I15" s="63">
        <f t="shared" si="8"/>
        <v>0</v>
      </c>
      <c r="J15" s="57">
        <f t="shared" si="9"/>
        <v>0</v>
      </c>
      <c r="K15" s="57">
        <f t="shared" si="18"/>
        <v>0</v>
      </c>
      <c r="L15" s="63">
        <f t="shared" si="10"/>
        <v>0</v>
      </c>
      <c r="M15" s="57">
        <f t="shared" si="11"/>
        <v>0</v>
      </c>
      <c r="N15" s="57">
        <f t="shared" ref="N15:N21" si="25">K15</f>
        <v>0</v>
      </c>
      <c r="O15" s="65">
        <f t="shared" si="12"/>
        <v>0</v>
      </c>
      <c r="P15" s="89">
        <v>0</v>
      </c>
      <c r="Q15" s="89">
        <v>0</v>
      </c>
      <c r="R15" s="65">
        <f t="shared" si="13"/>
        <v>0</v>
      </c>
      <c r="S15" s="18">
        <f t="shared" si="19"/>
        <v>0</v>
      </c>
      <c r="T15" s="89">
        <f t="shared" si="20"/>
        <v>0</v>
      </c>
      <c r="U15" s="65">
        <f t="shared" si="14"/>
        <v>0</v>
      </c>
      <c r="V15" s="89">
        <f t="shared" si="21"/>
        <v>0</v>
      </c>
      <c r="W15" s="89">
        <f t="shared" si="22"/>
        <v>0</v>
      </c>
      <c r="X15" s="65">
        <f t="shared" si="15"/>
        <v>392.26</v>
      </c>
      <c r="Y15" s="89">
        <f t="shared" ref="Y15" si="26">V15</f>
        <v>0</v>
      </c>
      <c r="Z15" s="89">
        <f>W15+392.26</f>
        <v>392.26</v>
      </c>
      <c r="AA15" s="86"/>
      <c r="AB15" s="20"/>
    </row>
    <row r="16" spans="1:225" s="13" customFormat="1" ht="34.5" customHeight="1" x14ac:dyDescent="0.2">
      <c r="A16" s="59" t="s">
        <v>90</v>
      </c>
      <c r="B16" s="19" t="s">
        <v>72</v>
      </c>
      <c r="C16" s="63">
        <f t="shared" si="5"/>
        <v>0</v>
      </c>
      <c r="D16" s="57">
        <v>0</v>
      </c>
      <c r="E16" s="57">
        <v>0</v>
      </c>
      <c r="F16" s="63">
        <f t="shared" si="6"/>
        <v>0</v>
      </c>
      <c r="G16" s="57">
        <f t="shared" si="7"/>
        <v>0</v>
      </c>
      <c r="H16" s="57">
        <f t="shared" si="24"/>
        <v>0</v>
      </c>
      <c r="I16" s="63">
        <f t="shared" si="8"/>
        <v>0</v>
      </c>
      <c r="J16" s="57">
        <f t="shared" si="9"/>
        <v>0</v>
      </c>
      <c r="K16" s="57">
        <f t="shared" si="18"/>
        <v>0</v>
      </c>
      <c r="L16" s="63">
        <f t="shared" si="10"/>
        <v>0</v>
      </c>
      <c r="M16" s="57">
        <f t="shared" si="11"/>
        <v>0</v>
      </c>
      <c r="N16" s="57">
        <f t="shared" si="25"/>
        <v>0</v>
      </c>
      <c r="O16" s="65">
        <f t="shared" si="12"/>
        <v>161.874</v>
      </c>
      <c r="P16" s="89">
        <v>161.874</v>
      </c>
      <c r="Q16" s="89">
        <v>0</v>
      </c>
      <c r="R16" s="65">
        <f t="shared" si="13"/>
        <v>161.874</v>
      </c>
      <c r="S16" s="18">
        <f t="shared" si="19"/>
        <v>161.874</v>
      </c>
      <c r="T16" s="89">
        <f t="shared" si="20"/>
        <v>0</v>
      </c>
      <c r="U16" s="65">
        <f t="shared" si="14"/>
        <v>161.874</v>
      </c>
      <c r="V16" s="89">
        <f t="shared" si="21"/>
        <v>161.874</v>
      </c>
      <c r="W16" s="89">
        <f t="shared" si="22"/>
        <v>0</v>
      </c>
      <c r="X16" s="65">
        <f t="shared" si="15"/>
        <v>161.874</v>
      </c>
      <c r="Y16" s="89">
        <f t="shared" si="16"/>
        <v>161.874</v>
      </c>
      <c r="Z16" s="89">
        <f t="shared" si="17"/>
        <v>0</v>
      </c>
      <c r="AA16" s="86"/>
      <c r="AB16" s="20"/>
    </row>
    <row r="17" spans="1:225" s="13" customFormat="1" ht="34.5" customHeight="1" x14ac:dyDescent="0.2">
      <c r="A17" s="59" t="s">
        <v>91</v>
      </c>
      <c r="B17" s="19" t="s">
        <v>83</v>
      </c>
      <c r="C17" s="63">
        <f t="shared" si="5"/>
        <v>0</v>
      </c>
      <c r="D17" s="57">
        <v>0</v>
      </c>
      <c r="E17" s="57">
        <v>0</v>
      </c>
      <c r="F17" s="63">
        <f t="shared" si="6"/>
        <v>0</v>
      </c>
      <c r="G17" s="57">
        <f t="shared" si="7"/>
        <v>0</v>
      </c>
      <c r="H17" s="57">
        <f t="shared" si="24"/>
        <v>0</v>
      </c>
      <c r="I17" s="63">
        <f t="shared" si="8"/>
        <v>0</v>
      </c>
      <c r="J17" s="57">
        <f t="shared" si="9"/>
        <v>0</v>
      </c>
      <c r="K17" s="57">
        <f t="shared" si="18"/>
        <v>0</v>
      </c>
      <c r="L17" s="63">
        <f t="shared" si="10"/>
        <v>0</v>
      </c>
      <c r="M17" s="57">
        <f t="shared" si="11"/>
        <v>0</v>
      </c>
      <c r="N17" s="57">
        <f t="shared" si="25"/>
        <v>0</v>
      </c>
      <c r="O17" s="65">
        <f t="shared" si="12"/>
        <v>0</v>
      </c>
      <c r="P17" s="89">
        <v>0</v>
      </c>
      <c r="Q17" s="89">
        <v>0</v>
      </c>
      <c r="R17" s="65">
        <f t="shared" si="13"/>
        <v>0</v>
      </c>
      <c r="S17" s="18">
        <f t="shared" si="19"/>
        <v>0</v>
      </c>
      <c r="T17" s="89">
        <f t="shared" si="20"/>
        <v>0</v>
      </c>
      <c r="U17" s="65">
        <f t="shared" si="14"/>
        <v>0</v>
      </c>
      <c r="V17" s="89">
        <f t="shared" si="21"/>
        <v>0</v>
      </c>
      <c r="W17" s="89">
        <f t="shared" si="22"/>
        <v>0</v>
      </c>
      <c r="X17" s="65">
        <f t="shared" si="15"/>
        <v>11.260999999999999</v>
      </c>
      <c r="Y17" s="89">
        <f>V17+11.261</f>
        <v>11.260999999999999</v>
      </c>
      <c r="Z17" s="89">
        <f t="shared" ref="Z17" si="27">W17</f>
        <v>0</v>
      </c>
      <c r="AA17" s="86"/>
      <c r="AB17" s="20"/>
    </row>
    <row r="18" spans="1:225" s="13" customFormat="1" ht="34.5" customHeight="1" x14ac:dyDescent="0.2">
      <c r="A18" s="59" t="s">
        <v>92</v>
      </c>
      <c r="B18" s="19" t="s">
        <v>79</v>
      </c>
      <c r="C18" s="63">
        <f t="shared" si="5"/>
        <v>0</v>
      </c>
      <c r="D18" s="57">
        <v>0</v>
      </c>
      <c r="E18" s="57">
        <v>0</v>
      </c>
      <c r="F18" s="63">
        <f t="shared" si="6"/>
        <v>0</v>
      </c>
      <c r="G18" s="57">
        <f t="shared" si="7"/>
        <v>0</v>
      </c>
      <c r="H18" s="57">
        <f t="shared" si="24"/>
        <v>0</v>
      </c>
      <c r="I18" s="63">
        <f t="shared" si="8"/>
        <v>0</v>
      </c>
      <c r="J18" s="57">
        <f t="shared" si="9"/>
        <v>0</v>
      </c>
      <c r="K18" s="57">
        <f t="shared" si="18"/>
        <v>0</v>
      </c>
      <c r="L18" s="63">
        <f t="shared" si="10"/>
        <v>0</v>
      </c>
      <c r="M18" s="57">
        <f t="shared" si="11"/>
        <v>0</v>
      </c>
      <c r="N18" s="57">
        <f t="shared" si="25"/>
        <v>0</v>
      </c>
      <c r="O18" s="65">
        <f t="shared" si="12"/>
        <v>0</v>
      </c>
      <c r="P18" s="89">
        <v>0</v>
      </c>
      <c r="Q18" s="89">
        <v>0</v>
      </c>
      <c r="R18" s="65">
        <f t="shared" si="13"/>
        <v>343.96</v>
      </c>
      <c r="S18" s="18">
        <f t="shared" si="19"/>
        <v>0</v>
      </c>
      <c r="T18" s="89">
        <v>343.96</v>
      </c>
      <c r="U18" s="65">
        <f t="shared" si="14"/>
        <v>343.96</v>
      </c>
      <c r="V18" s="89">
        <f t="shared" si="21"/>
        <v>0</v>
      </c>
      <c r="W18" s="89">
        <f>T18</f>
        <v>343.96</v>
      </c>
      <c r="X18" s="65">
        <f t="shared" si="15"/>
        <v>759.98</v>
      </c>
      <c r="Y18" s="89">
        <f t="shared" si="16"/>
        <v>0</v>
      </c>
      <c r="Z18" s="89">
        <f>W18+416.02</f>
        <v>759.98</v>
      </c>
      <c r="AA18" s="86"/>
      <c r="AB18" s="20"/>
    </row>
    <row r="19" spans="1:225" s="13" customFormat="1" ht="37.5" customHeight="1" x14ac:dyDescent="0.2">
      <c r="A19" s="59" t="s">
        <v>93</v>
      </c>
      <c r="B19" s="19" t="s">
        <v>42</v>
      </c>
      <c r="C19" s="63">
        <f t="shared" si="5"/>
        <v>0</v>
      </c>
      <c r="D19" s="57">
        <v>0</v>
      </c>
      <c r="E19" s="57">
        <v>0</v>
      </c>
      <c r="F19" s="63">
        <f t="shared" si="6"/>
        <v>0</v>
      </c>
      <c r="G19" s="57">
        <f t="shared" si="7"/>
        <v>0</v>
      </c>
      <c r="H19" s="57">
        <f t="shared" si="24"/>
        <v>0</v>
      </c>
      <c r="I19" s="63">
        <f t="shared" si="8"/>
        <v>0</v>
      </c>
      <c r="J19" s="57">
        <f t="shared" si="9"/>
        <v>0</v>
      </c>
      <c r="K19" s="57">
        <f t="shared" si="18"/>
        <v>0</v>
      </c>
      <c r="L19" s="63">
        <f t="shared" si="10"/>
        <v>0</v>
      </c>
      <c r="M19" s="57">
        <f t="shared" si="11"/>
        <v>0</v>
      </c>
      <c r="N19" s="57">
        <f t="shared" si="25"/>
        <v>0</v>
      </c>
      <c r="O19" s="65">
        <f t="shared" si="12"/>
        <v>0</v>
      </c>
      <c r="P19" s="89">
        <v>0</v>
      </c>
      <c r="Q19" s="89">
        <v>0</v>
      </c>
      <c r="R19" s="65">
        <f t="shared" si="13"/>
        <v>97.34</v>
      </c>
      <c r="S19" s="18">
        <f t="shared" si="19"/>
        <v>0</v>
      </c>
      <c r="T19" s="89">
        <v>97.34</v>
      </c>
      <c r="U19" s="65">
        <f t="shared" si="14"/>
        <v>97.34</v>
      </c>
      <c r="V19" s="89">
        <f t="shared" si="21"/>
        <v>0</v>
      </c>
      <c r="W19" s="89">
        <f>T19</f>
        <v>97.34</v>
      </c>
      <c r="X19" s="65">
        <f t="shared" si="15"/>
        <v>97.34</v>
      </c>
      <c r="Y19" s="89">
        <f t="shared" si="16"/>
        <v>0</v>
      </c>
      <c r="Z19" s="89">
        <f t="shared" si="17"/>
        <v>97.34</v>
      </c>
      <c r="AA19" s="86"/>
      <c r="AB19" s="20"/>
    </row>
    <row r="20" spans="1:225" s="13" customFormat="1" ht="27" customHeight="1" x14ac:dyDescent="0.2">
      <c r="A20" s="59" t="s">
        <v>94</v>
      </c>
      <c r="B20" s="72" t="s">
        <v>8</v>
      </c>
      <c r="C20" s="63">
        <f t="shared" si="5"/>
        <v>0</v>
      </c>
      <c r="D20" s="57">
        <v>0</v>
      </c>
      <c r="E20" s="57">
        <v>0</v>
      </c>
      <c r="F20" s="63">
        <f t="shared" si="6"/>
        <v>0</v>
      </c>
      <c r="G20" s="57">
        <f t="shared" si="7"/>
        <v>0</v>
      </c>
      <c r="H20" s="57">
        <f t="shared" si="24"/>
        <v>0</v>
      </c>
      <c r="I20" s="63">
        <f t="shared" si="8"/>
        <v>0</v>
      </c>
      <c r="J20" s="57">
        <f t="shared" si="9"/>
        <v>0</v>
      </c>
      <c r="K20" s="57">
        <f>H20</f>
        <v>0</v>
      </c>
      <c r="L20" s="63">
        <f t="shared" si="10"/>
        <v>0</v>
      </c>
      <c r="M20" s="57">
        <f t="shared" si="11"/>
        <v>0</v>
      </c>
      <c r="N20" s="57">
        <f t="shared" si="25"/>
        <v>0</v>
      </c>
      <c r="O20" s="65">
        <f t="shared" si="12"/>
        <v>0</v>
      </c>
      <c r="P20" s="89">
        <v>0</v>
      </c>
      <c r="Q20" s="89">
        <v>0</v>
      </c>
      <c r="R20" s="65">
        <f t="shared" si="13"/>
        <v>0</v>
      </c>
      <c r="S20" s="18">
        <f t="shared" si="19"/>
        <v>0</v>
      </c>
      <c r="T20" s="89">
        <f>Q20</f>
        <v>0</v>
      </c>
      <c r="U20" s="65">
        <f t="shared" si="14"/>
        <v>0</v>
      </c>
      <c r="V20" s="89">
        <f t="shared" si="21"/>
        <v>0</v>
      </c>
      <c r="W20" s="89">
        <f t="shared" ref="W20:W21" si="28">T20</f>
        <v>0</v>
      </c>
      <c r="X20" s="65">
        <f t="shared" si="15"/>
        <v>0</v>
      </c>
      <c r="Y20" s="89">
        <f t="shared" si="16"/>
        <v>0</v>
      </c>
      <c r="Z20" s="89">
        <f t="shared" si="17"/>
        <v>0</v>
      </c>
      <c r="AA20" s="86"/>
      <c r="AB20" s="20"/>
    </row>
    <row r="21" spans="1:225" s="13" customFormat="1" ht="27" customHeight="1" x14ac:dyDescent="0.2">
      <c r="A21" s="59" t="s">
        <v>95</v>
      </c>
      <c r="B21" s="72" t="s">
        <v>9</v>
      </c>
      <c r="C21" s="63">
        <f t="shared" si="5"/>
        <v>0</v>
      </c>
      <c r="D21" s="57">
        <v>0</v>
      </c>
      <c r="E21" s="57">
        <v>0</v>
      </c>
      <c r="F21" s="63">
        <f t="shared" si="6"/>
        <v>0</v>
      </c>
      <c r="G21" s="57">
        <f t="shared" si="7"/>
        <v>0</v>
      </c>
      <c r="H21" s="57">
        <f t="shared" si="24"/>
        <v>0</v>
      </c>
      <c r="I21" s="63">
        <f t="shared" si="8"/>
        <v>0</v>
      </c>
      <c r="J21" s="57">
        <f t="shared" si="9"/>
        <v>0</v>
      </c>
      <c r="K21" s="57">
        <f t="shared" si="18"/>
        <v>0</v>
      </c>
      <c r="L21" s="63">
        <f t="shared" si="10"/>
        <v>0</v>
      </c>
      <c r="M21" s="57">
        <f t="shared" si="11"/>
        <v>0</v>
      </c>
      <c r="N21" s="57">
        <f t="shared" si="25"/>
        <v>0</v>
      </c>
      <c r="O21" s="65">
        <f t="shared" si="12"/>
        <v>0</v>
      </c>
      <c r="P21" s="89">
        <v>0</v>
      </c>
      <c r="Q21" s="89">
        <v>0</v>
      </c>
      <c r="R21" s="65">
        <f t="shared" si="13"/>
        <v>0</v>
      </c>
      <c r="S21" s="18">
        <f t="shared" si="19"/>
        <v>0</v>
      </c>
      <c r="T21" s="89">
        <f>Q21</f>
        <v>0</v>
      </c>
      <c r="U21" s="65">
        <f t="shared" si="14"/>
        <v>0</v>
      </c>
      <c r="V21" s="89">
        <f t="shared" si="21"/>
        <v>0</v>
      </c>
      <c r="W21" s="89">
        <f t="shared" si="28"/>
        <v>0</v>
      </c>
      <c r="X21" s="63">
        <f t="shared" si="15"/>
        <v>0</v>
      </c>
      <c r="Y21" s="89">
        <f t="shared" si="16"/>
        <v>0</v>
      </c>
      <c r="Z21" s="89">
        <f t="shared" si="17"/>
        <v>0</v>
      </c>
      <c r="AA21" s="86"/>
      <c r="AB21" s="20"/>
    </row>
    <row r="22" spans="1:225" s="10" customFormat="1" ht="27" customHeight="1" x14ac:dyDescent="0.2">
      <c r="A22" s="15">
        <v>6</v>
      </c>
      <c r="B22" s="62" t="s">
        <v>10</v>
      </c>
      <c r="C22" s="63">
        <f>SUM(C23:C36)</f>
        <v>2240</v>
      </c>
      <c r="D22" s="63">
        <f>SUM(D23:D36)</f>
        <v>0</v>
      </c>
      <c r="E22" s="63">
        <f t="shared" ref="E22:N22" si="29">SUM(E23:E36)</f>
        <v>2240</v>
      </c>
      <c r="F22" s="63">
        <f t="shared" si="29"/>
        <v>4759.6499999999996</v>
      </c>
      <c r="G22" s="63">
        <f>SUM(G23:G36)</f>
        <v>0</v>
      </c>
      <c r="H22" s="63">
        <f t="shared" si="29"/>
        <v>4759.6499999999996</v>
      </c>
      <c r="I22" s="63">
        <f t="shared" si="29"/>
        <v>6759.65</v>
      </c>
      <c r="J22" s="63">
        <f t="shared" si="29"/>
        <v>0</v>
      </c>
      <c r="K22" s="63">
        <f t="shared" si="29"/>
        <v>6759.65</v>
      </c>
      <c r="L22" s="63">
        <f t="shared" si="29"/>
        <v>6759.65</v>
      </c>
      <c r="M22" s="63">
        <f t="shared" si="29"/>
        <v>0</v>
      </c>
      <c r="N22" s="63">
        <f t="shared" si="29"/>
        <v>6759.65</v>
      </c>
      <c r="O22" s="63">
        <f t="shared" ref="O22:X22" si="30">SUM(O23:O35)</f>
        <v>381.76100000000002</v>
      </c>
      <c r="P22" s="63">
        <f t="shared" si="30"/>
        <v>381.76100000000002</v>
      </c>
      <c r="Q22" s="63">
        <f t="shared" si="30"/>
        <v>0</v>
      </c>
      <c r="R22" s="63">
        <f t="shared" si="30"/>
        <v>1078.0679599999999</v>
      </c>
      <c r="S22" s="63">
        <f t="shared" si="30"/>
        <v>405.89800000000002</v>
      </c>
      <c r="T22" s="63">
        <f t="shared" si="30"/>
        <v>672.16995999999995</v>
      </c>
      <c r="U22" s="63">
        <f t="shared" si="30"/>
        <v>3631.6279599999998</v>
      </c>
      <c r="V22" s="63">
        <f t="shared" si="30"/>
        <v>406.81800000000004</v>
      </c>
      <c r="W22" s="63">
        <f t="shared" si="30"/>
        <v>3224.8099599999996</v>
      </c>
      <c r="X22" s="63">
        <f t="shared" si="30"/>
        <v>7740.9209600000004</v>
      </c>
      <c r="Y22" s="63">
        <f t="shared" ref="Y22:Z22" si="31">SUM(Y23:Y35)</f>
        <v>442.40100000000001</v>
      </c>
      <c r="Z22" s="63">
        <f t="shared" si="31"/>
        <v>7298.5199600000005</v>
      </c>
      <c r="AA22" s="85">
        <f>X22/L22</f>
        <v>1.1451659420236255</v>
      </c>
      <c r="AB22" s="20">
        <f>X22-L22</f>
        <v>981.27096000000074</v>
      </c>
    </row>
    <row r="23" spans="1:225" s="10" customFormat="1" ht="27" customHeight="1" x14ac:dyDescent="0.2">
      <c r="A23" s="59" t="s">
        <v>31</v>
      </c>
      <c r="B23" s="19" t="s">
        <v>36</v>
      </c>
      <c r="C23" s="63">
        <f t="shared" si="5"/>
        <v>0</v>
      </c>
      <c r="D23" s="57">
        <v>0</v>
      </c>
      <c r="E23" s="57">
        <v>0</v>
      </c>
      <c r="F23" s="63">
        <f>G23+H23</f>
        <v>389.83</v>
      </c>
      <c r="G23" s="57">
        <f>D23</f>
        <v>0</v>
      </c>
      <c r="H23" s="57">
        <v>389.83</v>
      </c>
      <c r="I23" s="63">
        <f>J23+K23</f>
        <v>389.83</v>
      </c>
      <c r="J23" s="57">
        <f>G23</f>
        <v>0</v>
      </c>
      <c r="K23" s="57">
        <f>H23</f>
        <v>389.83</v>
      </c>
      <c r="L23" s="63">
        <f>M23+N23</f>
        <v>389.83</v>
      </c>
      <c r="M23" s="57">
        <f>J23</f>
        <v>0</v>
      </c>
      <c r="N23" s="57">
        <f>K23</f>
        <v>389.83</v>
      </c>
      <c r="O23" s="65">
        <f t="shared" si="12"/>
        <v>0</v>
      </c>
      <c r="P23" s="89">
        <v>0</v>
      </c>
      <c r="Q23" s="89">
        <v>0</v>
      </c>
      <c r="R23" s="65">
        <f t="shared" si="13"/>
        <v>0</v>
      </c>
      <c r="S23" s="18">
        <f>P23</f>
        <v>0</v>
      </c>
      <c r="T23" s="18">
        <f>Q23</f>
        <v>0</v>
      </c>
      <c r="U23" s="65">
        <f t="shared" si="14"/>
        <v>0</v>
      </c>
      <c r="V23" s="18">
        <f>S23</f>
        <v>0</v>
      </c>
      <c r="W23" s="18">
        <f>T23</f>
        <v>0</v>
      </c>
      <c r="X23" s="65">
        <f t="shared" si="15"/>
        <v>0</v>
      </c>
      <c r="Y23" s="18">
        <f>V23</f>
        <v>0</v>
      </c>
      <c r="Z23" s="18">
        <f>W23</f>
        <v>0</v>
      </c>
      <c r="AA23" s="86"/>
      <c r="AB23" s="20"/>
    </row>
    <row r="24" spans="1:225" s="10" customFormat="1" ht="27" customHeight="1" x14ac:dyDescent="0.2">
      <c r="A24" s="59" t="s">
        <v>32</v>
      </c>
      <c r="B24" s="19" t="s">
        <v>84</v>
      </c>
      <c r="C24" s="63">
        <f t="shared" si="5"/>
        <v>0</v>
      </c>
      <c r="D24" s="57">
        <v>0</v>
      </c>
      <c r="E24" s="57">
        <v>0</v>
      </c>
      <c r="F24" s="63">
        <f t="shared" ref="F24:F36" si="32">G24+H24</f>
        <v>0</v>
      </c>
      <c r="G24" s="57">
        <f t="shared" ref="G24:G36" si="33">D24</f>
        <v>0</v>
      </c>
      <c r="H24" s="57">
        <f>E24</f>
        <v>0</v>
      </c>
      <c r="I24" s="63">
        <f t="shared" ref="I24:I36" si="34">J24+K24</f>
        <v>0</v>
      </c>
      <c r="J24" s="57">
        <f t="shared" ref="J24:J36" si="35">G24</f>
        <v>0</v>
      </c>
      <c r="K24" s="57">
        <f t="shared" ref="K24:K26" si="36">H24</f>
        <v>0</v>
      </c>
      <c r="L24" s="63">
        <f t="shared" ref="L24:L36" si="37">M24+N24</f>
        <v>0</v>
      </c>
      <c r="M24" s="57">
        <f t="shared" ref="M24:M36" si="38">J24</f>
        <v>0</v>
      </c>
      <c r="N24" s="57">
        <f t="shared" ref="N24:N36" si="39">K24</f>
        <v>0</v>
      </c>
      <c r="O24" s="65">
        <f t="shared" si="12"/>
        <v>0</v>
      </c>
      <c r="P24" s="89">
        <v>0</v>
      </c>
      <c r="Q24" s="89">
        <v>0</v>
      </c>
      <c r="R24" s="65">
        <f t="shared" si="13"/>
        <v>0</v>
      </c>
      <c r="S24" s="18">
        <f t="shared" ref="S24:S36" si="40">P24</f>
        <v>0</v>
      </c>
      <c r="T24" s="18">
        <f t="shared" ref="T24:T25" si="41">Q24</f>
        <v>0</v>
      </c>
      <c r="U24" s="65">
        <f t="shared" si="14"/>
        <v>0</v>
      </c>
      <c r="V24" s="18">
        <f t="shared" ref="V24:V32" si="42">S24</f>
        <v>0</v>
      </c>
      <c r="W24" s="18">
        <f t="shared" ref="W24:W25" si="43">T24</f>
        <v>0</v>
      </c>
      <c r="X24" s="65">
        <f t="shared" si="15"/>
        <v>3170</v>
      </c>
      <c r="Y24" s="18">
        <f>V24</f>
        <v>0</v>
      </c>
      <c r="Z24" s="18">
        <f>W24+300+2870</f>
        <v>3170</v>
      </c>
      <c r="AA24" s="92"/>
      <c r="AB24" s="20"/>
    </row>
    <row r="25" spans="1:225" s="17" customFormat="1" ht="27" customHeight="1" x14ac:dyDescent="0.2">
      <c r="A25" s="59" t="s">
        <v>33</v>
      </c>
      <c r="B25" s="19" t="s">
        <v>37</v>
      </c>
      <c r="C25" s="63">
        <f t="shared" si="5"/>
        <v>110.17</v>
      </c>
      <c r="D25" s="57">
        <v>0</v>
      </c>
      <c r="E25" s="57">
        <v>110.17</v>
      </c>
      <c r="F25" s="63">
        <f t="shared" si="32"/>
        <v>110.17</v>
      </c>
      <c r="G25" s="57">
        <f t="shared" si="33"/>
        <v>0</v>
      </c>
      <c r="H25" s="57">
        <v>110.17</v>
      </c>
      <c r="I25" s="63">
        <f t="shared" si="34"/>
        <v>110.17</v>
      </c>
      <c r="J25" s="57">
        <f t="shared" si="35"/>
        <v>0</v>
      </c>
      <c r="K25" s="57">
        <f t="shared" si="36"/>
        <v>110.17</v>
      </c>
      <c r="L25" s="63">
        <f t="shared" si="37"/>
        <v>110.17</v>
      </c>
      <c r="M25" s="57">
        <f t="shared" si="38"/>
        <v>0</v>
      </c>
      <c r="N25" s="57">
        <f t="shared" si="39"/>
        <v>110.17</v>
      </c>
      <c r="O25" s="65">
        <f t="shared" si="12"/>
        <v>0</v>
      </c>
      <c r="P25" s="89">
        <v>0</v>
      </c>
      <c r="Q25" s="89">
        <v>0</v>
      </c>
      <c r="R25" s="65">
        <v>0</v>
      </c>
      <c r="S25" s="18">
        <f t="shared" si="40"/>
        <v>0</v>
      </c>
      <c r="T25" s="18">
        <f t="shared" si="41"/>
        <v>0</v>
      </c>
      <c r="U25" s="65">
        <f t="shared" si="14"/>
        <v>0</v>
      </c>
      <c r="V25" s="18">
        <f t="shared" si="42"/>
        <v>0</v>
      </c>
      <c r="W25" s="18">
        <f t="shared" si="43"/>
        <v>0</v>
      </c>
      <c r="X25" s="65">
        <f t="shared" si="15"/>
        <v>0</v>
      </c>
      <c r="Y25" s="18">
        <f t="shared" ref="Y25:Z36" si="44">V25</f>
        <v>0</v>
      </c>
      <c r="Z25" s="18">
        <f t="shared" si="44"/>
        <v>0</v>
      </c>
      <c r="AA25" s="92"/>
      <c r="AB25" s="20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</row>
    <row r="26" spans="1:225" s="17" customFormat="1" ht="42.75" customHeight="1" x14ac:dyDescent="0.2">
      <c r="A26" s="59" t="s">
        <v>34</v>
      </c>
      <c r="B26" s="19" t="s">
        <v>38</v>
      </c>
      <c r="C26" s="63">
        <f t="shared" si="5"/>
        <v>0</v>
      </c>
      <c r="D26" s="57">
        <v>0</v>
      </c>
      <c r="E26" s="57">
        <v>0</v>
      </c>
      <c r="F26" s="63">
        <f t="shared" si="32"/>
        <v>0</v>
      </c>
      <c r="G26" s="57">
        <f t="shared" si="33"/>
        <v>0</v>
      </c>
      <c r="H26" s="57">
        <v>0</v>
      </c>
      <c r="I26" s="63">
        <f t="shared" si="34"/>
        <v>0</v>
      </c>
      <c r="J26" s="57">
        <f t="shared" si="35"/>
        <v>0</v>
      </c>
      <c r="K26" s="57">
        <f t="shared" si="36"/>
        <v>0</v>
      </c>
      <c r="L26" s="63">
        <f t="shared" si="37"/>
        <v>0</v>
      </c>
      <c r="M26" s="57">
        <f t="shared" si="38"/>
        <v>0</v>
      </c>
      <c r="N26" s="57">
        <f t="shared" si="39"/>
        <v>0</v>
      </c>
      <c r="O26" s="65">
        <f t="shared" si="12"/>
        <v>0</v>
      </c>
      <c r="P26" s="89">
        <v>0</v>
      </c>
      <c r="Q26" s="89">
        <v>0</v>
      </c>
      <c r="R26" s="65">
        <f t="shared" si="13"/>
        <v>588.9</v>
      </c>
      <c r="S26" s="18">
        <f t="shared" si="40"/>
        <v>0</v>
      </c>
      <c r="T26" s="18">
        <f>588.9</f>
        <v>588.9</v>
      </c>
      <c r="U26" s="65">
        <f t="shared" si="14"/>
        <v>588.9</v>
      </c>
      <c r="V26" s="18">
        <f t="shared" si="42"/>
        <v>0</v>
      </c>
      <c r="W26" s="18">
        <f>T26</f>
        <v>588.9</v>
      </c>
      <c r="X26" s="65">
        <f t="shared" si="15"/>
        <v>588.9</v>
      </c>
      <c r="Y26" s="18">
        <f t="shared" si="44"/>
        <v>0</v>
      </c>
      <c r="Z26" s="18">
        <f t="shared" si="44"/>
        <v>588.9</v>
      </c>
      <c r="AA26" s="92"/>
      <c r="AB26" s="20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</row>
    <row r="27" spans="1:225" s="17" customFormat="1" ht="36.75" customHeight="1" x14ac:dyDescent="0.2">
      <c r="A27" s="59" t="s">
        <v>96</v>
      </c>
      <c r="B27" s="19" t="s">
        <v>35</v>
      </c>
      <c r="C27" s="63">
        <f t="shared" si="5"/>
        <v>2129.83</v>
      </c>
      <c r="D27" s="57">
        <v>0</v>
      </c>
      <c r="E27" s="57">
        <v>2129.83</v>
      </c>
      <c r="F27" s="63">
        <f t="shared" si="32"/>
        <v>4259.6499999999996</v>
      </c>
      <c r="G27" s="57">
        <f t="shared" si="33"/>
        <v>0</v>
      </c>
      <c r="H27" s="57">
        <v>4259.6499999999996</v>
      </c>
      <c r="I27" s="63">
        <f t="shared" si="34"/>
        <v>6259.65</v>
      </c>
      <c r="J27" s="57">
        <f t="shared" si="35"/>
        <v>0</v>
      </c>
      <c r="K27" s="57">
        <v>6259.65</v>
      </c>
      <c r="L27" s="63">
        <f t="shared" si="37"/>
        <v>6259.65</v>
      </c>
      <c r="M27" s="57">
        <f t="shared" si="38"/>
        <v>0</v>
      </c>
      <c r="N27" s="57">
        <f t="shared" si="39"/>
        <v>6259.65</v>
      </c>
      <c r="O27" s="65">
        <f t="shared" si="12"/>
        <v>0</v>
      </c>
      <c r="P27" s="89">
        <v>0</v>
      </c>
      <c r="Q27" s="89">
        <v>0</v>
      </c>
      <c r="R27" s="65">
        <f t="shared" si="13"/>
        <v>83.269959999999998</v>
      </c>
      <c r="S27" s="18">
        <f t="shared" si="40"/>
        <v>0</v>
      </c>
      <c r="T27" s="18">
        <f>83.26996+Q27</f>
        <v>83.269959999999998</v>
      </c>
      <c r="U27" s="65">
        <f t="shared" si="14"/>
        <v>83.269959999999998</v>
      </c>
      <c r="V27" s="18">
        <f t="shared" si="42"/>
        <v>0</v>
      </c>
      <c r="W27" s="18">
        <f>T27</f>
        <v>83.269959999999998</v>
      </c>
      <c r="X27" s="65">
        <f t="shared" si="15"/>
        <v>83.269959999999998</v>
      </c>
      <c r="Y27" s="18">
        <f t="shared" si="44"/>
        <v>0</v>
      </c>
      <c r="Z27" s="18">
        <f t="shared" si="44"/>
        <v>83.269959999999998</v>
      </c>
      <c r="AA27" s="92"/>
      <c r="AB27" s="20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</row>
    <row r="28" spans="1:225" s="17" customFormat="1" ht="36.75" customHeight="1" x14ac:dyDescent="0.2">
      <c r="A28" s="59" t="s">
        <v>97</v>
      </c>
      <c r="B28" s="19" t="s">
        <v>77</v>
      </c>
      <c r="C28" s="63">
        <f t="shared" si="5"/>
        <v>0</v>
      </c>
      <c r="D28" s="57">
        <v>0</v>
      </c>
      <c r="E28" s="57">
        <v>0</v>
      </c>
      <c r="F28" s="63">
        <f t="shared" si="32"/>
        <v>0</v>
      </c>
      <c r="G28" s="57">
        <f t="shared" si="33"/>
        <v>0</v>
      </c>
      <c r="H28" s="57">
        <f>E28</f>
        <v>0</v>
      </c>
      <c r="I28" s="63">
        <f t="shared" si="34"/>
        <v>0</v>
      </c>
      <c r="J28" s="57">
        <f t="shared" si="35"/>
        <v>0</v>
      </c>
      <c r="K28" s="57">
        <f>H28</f>
        <v>0</v>
      </c>
      <c r="L28" s="63">
        <f t="shared" si="37"/>
        <v>0</v>
      </c>
      <c r="M28" s="57">
        <f t="shared" si="38"/>
        <v>0</v>
      </c>
      <c r="N28" s="57">
        <f t="shared" si="39"/>
        <v>0</v>
      </c>
      <c r="O28" s="65">
        <f t="shared" si="12"/>
        <v>0</v>
      </c>
      <c r="P28" s="89">
        <v>0</v>
      </c>
      <c r="Q28" s="89">
        <v>0</v>
      </c>
      <c r="R28" s="65">
        <f t="shared" si="13"/>
        <v>0</v>
      </c>
      <c r="S28" s="18">
        <f t="shared" si="40"/>
        <v>0</v>
      </c>
      <c r="T28" s="18">
        <v>0</v>
      </c>
      <c r="U28" s="65">
        <f t="shared" si="14"/>
        <v>2552.64</v>
      </c>
      <c r="V28" s="18">
        <f t="shared" si="42"/>
        <v>0</v>
      </c>
      <c r="W28" s="18">
        <v>2552.64</v>
      </c>
      <c r="X28" s="65">
        <f t="shared" si="15"/>
        <v>2552.64</v>
      </c>
      <c r="Y28" s="18">
        <f t="shared" si="44"/>
        <v>0</v>
      </c>
      <c r="Z28" s="18">
        <f t="shared" si="44"/>
        <v>2552.64</v>
      </c>
      <c r="AA28" s="85"/>
      <c r="AB28" s="20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</row>
    <row r="29" spans="1:225" s="17" customFormat="1" ht="36.75" customHeight="1" x14ac:dyDescent="0.2">
      <c r="A29" s="59" t="s">
        <v>98</v>
      </c>
      <c r="B29" s="19" t="s">
        <v>76</v>
      </c>
      <c r="C29" s="63">
        <f t="shared" si="5"/>
        <v>0</v>
      </c>
      <c r="D29" s="57">
        <v>0</v>
      </c>
      <c r="E29" s="57">
        <v>0</v>
      </c>
      <c r="F29" s="63">
        <f t="shared" si="32"/>
        <v>0</v>
      </c>
      <c r="G29" s="57">
        <f t="shared" si="33"/>
        <v>0</v>
      </c>
      <c r="H29" s="57">
        <f t="shared" ref="H29:H36" si="45">E29</f>
        <v>0</v>
      </c>
      <c r="I29" s="63">
        <f t="shared" si="34"/>
        <v>0</v>
      </c>
      <c r="J29" s="57">
        <f t="shared" si="35"/>
        <v>0</v>
      </c>
      <c r="K29" s="57">
        <f t="shared" ref="K29:K36" si="46">H29</f>
        <v>0</v>
      </c>
      <c r="L29" s="63">
        <f t="shared" si="37"/>
        <v>0</v>
      </c>
      <c r="M29" s="57">
        <f t="shared" si="38"/>
        <v>0</v>
      </c>
      <c r="N29" s="57">
        <f t="shared" si="39"/>
        <v>0</v>
      </c>
      <c r="O29" s="65">
        <f t="shared" si="12"/>
        <v>0</v>
      </c>
      <c r="P29" s="89">
        <v>0</v>
      </c>
      <c r="Q29" s="89">
        <v>0</v>
      </c>
      <c r="R29" s="65">
        <f t="shared" si="13"/>
        <v>0</v>
      </c>
      <c r="S29" s="18">
        <f t="shared" si="40"/>
        <v>0</v>
      </c>
      <c r="T29" s="18">
        <v>0</v>
      </c>
      <c r="U29" s="65">
        <f t="shared" si="14"/>
        <v>0</v>
      </c>
      <c r="V29" s="18">
        <f t="shared" si="42"/>
        <v>0</v>
      </c>
      <c r="W29" s="18">
        <f>T29</f>
        <v>0</v>
      </c>
      <c r="X29" s="65">
        <f t="shared" si="15"/>
        <v>903.71</v>
      </c>
      <c r="Y29" s="18">
        <f t="shared" si="44"/>
        <v>0</v>
      </c>
      <c r="Z29" s="18">
        <f>W29+903.71</f>
        <v>903.71</v>
      </c>
      <c r="AA29" s="85"/>
      <c r="AB29" s="20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</row>
    <row r="30" spans="1:225" s="17" customFormat="1" ht="36.75" customHeight="1" x14ac:dyDescent="0.2">
      <c r="A30" s="59" t="s">
        <v>99</v>
      </c>
      <c r="B30" s="19" t="s">
        <v>70</v>
      </c>
      <c r="C30" s="63">
        <f t="shared" si="5"/>
        <v>0</v>
      </c>
      <c r="D30" s="57">
        <v>0</v>
      </c>
      <c r="E30" s="57">
        <v>0</v>
      </c>
      <c r="F30" s="63">
        <f t="shared" si="32"/>
        <v>0</v>
      </c>
      <c r="G30" s="57">
        <f t="shared" si="33"/>
        <v>0</v>
      </c>
      <c r="H30" s="57">
        <f t="shared" si="45"/>
        <v>0</v>
      </c>
      <c r="I30" s="63">
        <f t="shared" si="34"/>
        <v>0</v>
      </c>
      <c r="J30" s="57">
        <f t="shared" si="35"/>
        <v>0</v>
      </c>
      <c r="K30" s="57">
        <f t="shared" si="46"/>
        <v>0</v>
      </c>
      <c r="L30" s="63">
        <f t="shared" si="37"/>
        <v>0</v>
      </c>
      <c r="M30" s="57">
        <f t="shared" si="38"/>
        <v>0</v>
      </c>
      <c r="N30" s="57">
        <f t="shared" si="39"/>
        <v>0</v>
      </c>
      <c r="O30" s="65">
        <f t="shared" si="12"/>
        <v>279.78500000000003</v>
      </c>
      <c r="P30" s="18">
        <v>279.78500000000003</v>
      </c>
      <c r="Q30" s="89">
        <v>0</v>
      </c>
      <c r="R30" s="65">
        <f t="shared" si="13"/>
        <v>279.78500000000003</v>
      </c>
      <c r="S30" s="18">
        <f t="shared" si="40"/>
        <v>279.78500000000003</v>
      </c>
      <c r="T30" s="18">
        <v>0</v>
      </c>
      <c r="U30" s="65">
        <f t="shared" si="14"/>
        <v>279.78500000000003</v>
      </c>
      <c r="V30" s="18">
        <f t="shared" si="42"/>
        <v>279.78500000000003</v>
      </c>
      <c r="W30" s="18">
        <f t="shared" ref="W30:W36" si="47">T30</f>
        <v>0</v>
      </c>
      <c r="X30" s="65">
        <f t="shared" si="15"/>
        <v>279.78500000000003</v>
      </c>
      <c r="Y30" s="18">
        <f t="shared" si="44"/>
        <v>279.78500000000003</v>
      </c>
      <c r="Z30" s="18">
        <f t="shared" si="44"/>
        <v>0</v>
      </c>
      <c r="AA30" s="85"/>
      <c r="AB30" s="20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</row>
    <row r="31" spans="1:225" s="17" customFormat="1" ht="36.75" customHeight="1" x14ac:dyDescent="0.2">
      <c r="A31" s="59" t="s">
        <v>100</v>
      </c>
      <c r="B31" s="19" t="s">
        <v>73</v>
      </c>
      <c r="C31" s="63">
        <f t="shared" si="5"/>
        <v>0</v>
      </c>
      <c r="D31" s="57">
        <v>0</v>
      </c>
      <c r="E31" s="57">
        <v>0</v>
      </c>
      <c r="F31" s="63">
        <f t="shared" si="32"/>
        <v>0</v>
      </c>
      <c r="G31" s="57">
        <f t="shared" si="33"/>
        <v>0</v>
      </c>
      <c r="H31" s="57">
        <f t="shared" si="45"/>
        <v>0</v>
      </c>
      <c r="I31" s="63">
        <f t="shared" si="34"/>
        <v>0</v>
      </c>
      <c r="J31" s="57">
        <f t="shared" si="35"/>
        <v>0</v>
      </c>
      <c r="K31" s="57">
        <f t="shared" si="46"/>
        <v>0</v>
      </c>
      <c r="L31" s="63">
        <f t="shared" si="37"/>
        <v>0</v>
      </c>
      <c r="M31" s="57">
        <f t="shared" si="38"/>
        <v>0</v>
      </c>
      <c r="N31" s="57">
        <f t="shared" si="39"/>
        <v>0</v>
      </c>
      <c r="O31" s="65">
        <f t="shared" si="12"/>
        <v>92.31</v>
      </c>
      <c r="P31" s="18">
        <v>92.31</v>
      </c>
      <c r="Q31" s="89">
        <v>0</v>
      </c>
      <c r="R31" s="65">
        <f t="shared" si="13"/>
        <v>92.31</v>
      </c>
      <c r="S31" s="18">
        <f t="shared" si="40"/>
        <v>92.31</v>
      </c>
      <c r="T31" s="18">
        <v>0</v>
      </c>
      <c r="U31" s="65">
        <f t="shared" si="14"/>
        <v>92.31</v>
      </c>
      <c r="V31" s="18">
        <f t="shared" si="42"/>
        <v>92.31</v>
      </c>
      <c r="W31" s="18">
        <f t="shared" si="47"/>
        <v>0</v>
      </c>
      <c r="X31" s="65">
        <f t="shared" si="15"/>
        <v>92.31</v>
      </c>
      <c r="Y31" s="18">
        <f t="shared" si="44"/>
        <v>92.31</v>
      </c>
      <c r="Z31" s="18">
        <f t="shared" si="44"/>
        <v>0</v>
      </c>
      <c r="AA31" s="85"/>
      <c r="AB31" s="20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</row>
    <row r="32" spans="1:225" s="17" customFormat="1" ht="36.75" customHeight="1" x14ac:dyDescent="0.2">
      <c r="A32" s="59" t="s">
        <v>101</v>
      </c>
      <c r="B32" s="19" t="s">
        <v>74</v>
      </c>
      <c r="C32" s="63">
        <f t="shared" si="5"/>
        <v>0</v>
      </c>
      <c r="D32" s="57">
        <v>0</v>
      </c>
      <c r="E32" s="57">
        <v>0</v>
      </c>
      <c r="F32" s="63">
        <f t="shared" si="32"/>
        <v>0</v>
      </c>
      <c r="G32" s="57">
        <f t="shared" si="33"/>
        <v>0</v>
      </c>
      <c r="H32" s="57">
        <f t="shared" si="45"/>
        <v>0</v>
      </c>
      <c r="I32" s="63">
        <f t="shared" si="34"/>
        <v>0</v>
      </c>
      <c r="J32" s="57">
        <f t="shared" si="35"/>
        <v>0</v>
      </c>
      <c r="K32" s="57">
        <f t="shared" si="46"/>
        <v>0</v>
      </c>
      <c r="L32" s="63">
        <f t="shared" si="37"/>
        <v>0</v>
      </c>
      <c r="M32" s="57">
        <f t="shared" si="38"/>
        <v>0</v>
      </c>
      <c r="N32" s="57">
        <f t="shared" si="39"/>
        <v>0</v>
      </c>
      <c r="O32" s="65">
        <f t="shared" si="12"/>
        <v>0</v>
      </c>
      <c r="P32" s="18">
        <v>0</v>
      </c>
      <c r="Q32" s="89">
        <v>0</v>
      </c>
      <c r="R32" s="65">
        <f t="shared" si="13"/>
        <v>24.137</v>
      </c>
      <c r="S32" s="18">
        <f>P32+24.137</f>
        <v>24.137</v>
      </c>
      <c r="T32" s="18">
        <v>0</v>
      </c>
      <c r="U32" s="65">
        <f t="shared" si="14"/>
        <v>24.137</v>
      </c>
      <c r="V32" s="18">
        <f t="shared" si="42"/>
        <v>24.137</v>
      </c>
      <c r="W32" s="18">
        <f t="shared" si="47"/>
        <v>0</v>
      </c>
      <c r="X32" s="65">
        <f t="shared" si="15"/>
        <v>24.137</v>
      </c>
      <c r="Y32" s="18">
        <f t="shared" si="44"/>
        <v>24.137</v>
      </c>
      <c r="Z32" s="18">
        <f t="shared" si="44"/>
        <v>0</v>
      </c>
      <c r="AA32" s="85"/>
      <c r="AB32" s="20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</row>
    <row r="33" spans="1:225" s="17" customFormat="1" ht="36.75" customHeight="1" x14ac:dyDescent="0.2">
      <c r="A33" s="59" t="s">
        <v>102</v>
      </c>
      <c r="B33" s="19" t="s">
        <v>75</v>
      </c>
      <c r="C33" s="63">
        <f t="shared" si="5"/>
        <v>0</v>
      </c>
      <c r="D33" s="57">
        <v>0</v>
      </c>
      <c r="E33" s="57">
        <v>0</v>
      </c>
      <c r="F33" s="63">
        <f t="shared" si="32"/>
        <v>0</v>
      </c>
      <c r="G33" s="57">
        <f t="shared" si="33"/>
        <v>0</v>
      </c>
      <c r="H33" s="57">
        <f t="shared" si="45"/>
        <v>0</v>
      </c>
      <c r="I33" s="63">
        <f t="shared" si="34"/>
        <v>0</v>
      </c>
      <c r="J33" s="57">
        <f t="shared" si="35"/>
        <v>0</v>
      </c>
      <c r="K33" s="57">
        <f t="shared" si="46"/>
        <v>0</v>
      </c>
      <c r="L33" s="63">
        <f t="shared" si="37"/>
        <v>0</v>
      </c>
      <c r="M33" s="57">
        <f t="shared" si="38"/>
        <v>0</v>
      </c>
      <c r="N33" s="57">
        <f t="shared" si="39"/>
        <v>0</v>
      </c>
      <c r="O33" s="65">
        <f t="shared" si="12"/>
        <v>0</v>
      </c>
      <c r="P33" s="18">
        <v>0</v>
      </c>
      <c r="Q33" s="89">
        <v>0</v>
      </c>
      <c r="R33" s="65">
        <f t="shared" si="13"/>
        <v>0</v>
      </c>
      <c r="S33" s="18">
        <f t="shared" si="40"/>
        <v>0</v>
      </c>
      <c r="T33" s="18">
        <v>0</v>
      </c>
      <c r="U33" s="65">
        <f t="shared" si="14"/>
        <v>0.92</v>
      </c>
      <c r="V33" s="18">
        <v>0.92</v>
      </c>
      <c r="W33" s="18">
        <f t="shared" si="47"/>
        <v>0</v>
      </c>
      <c r="X33" s="65">
        <f t="shared" si="15"/>
        <v>0.92</v>
      </c>
      <c r="Y33" s="18">
        <f t="shared" si="44"/>
        <v>0.92</v>
      </c>
      <c r="Z33" s="18">
        <f t="shared" si="44"/>
        <v>0</v>
      </c>
      <c r="AA33" s="85"/>
      <c r="AB33" s="20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</row>
    <row r="34" spans="1:225" s="17" customFormat="1" ht="36.75" customHeight="1" x14ac:dyDescent="0.2">
      <c r="A34" s="59" t="s">
        <v>103</v>
      </c>
      <c r="B34" s="19" t="s">
        <v>85</v>
      </c>
      <c r="C34" s="63">
        <f t="shared" si="5"/>
        <v>0</v>
      </c>
      <c r="D34" s="57">
        <v>0</v>
      </c>
      <c r="E34" s="57">
        <v>0</v>
      </c>
      <c r="F34" s="63">
        <f t="shared" si="32"/>
        <v>0</v>
      </c>
      <c r="G34" s="57">
        <f t="shared" si="33"/>
        <v>0</v>
      </c>
      <c r="H34" s="57">
        <f t="shared" si="45"/>
        <v>0</v>
      </c>
      <c r="I34" s="63">
        <f t="shared" si="34"/>
        <v>0</v>
      </c>
      <c r="J34" s="57">
        <f t="shared" si="35"/>
        <v>0</v>
      </c>
      <c r="K34" s="57">
        <f t="shared" si="46"/>
        <v>0</v>
      </c>
      <c r="L34" s="63">
        <f t="shared" si="37"/>
        <v>0</v>
      </c>
      <c r="M34" s="57">
        <f t="shared" si="38"/>
        <v>0</v>
      </c>
      <c r="N34" s="57">
        <f t="shared" si="39"/>
        <v>0</v>
      </c>
      <c r="O34" s="65">
        <f t="shared" si="12"/>
        <v>0</v>
      </c>
      <c r="P34" s="18">
        <v>0</v>
      </c>
      <c r="Q34" s="89">
        <v>0</v>
      </c>
      <c r="R34" s="65">
        <f t="shared" si="13"/>
        <v>0</v>
      </c>
      <c r="S34" s="18">
        <f t="shared" si="40"/>
        <v>0</v>
      </c>
      <c r="T34" s="18">
        <v>0</v>
      </c>
      <c r="U34" s="65">
        <f t="shared" si="14"/>
        <v>0</v>
      </c>
      <c r="V34" s="18">
        <f>S34</f>
        <v>0</v>
      </c>
      <c r="W34" s="18">
        <f t="shared" si="47"/>
        <v>0</v>
      </c>
      <c r="X34" s="65">
        <f t="shared" si="15"/>
        <v>35.582999999999998</v>
      </c>
      <c r="Y34" s="18">
        <f>V34+35.583</f>
        <v>35.582999999999998</v>
      </c>
      <c r="Z34" s="18">
        <f t="shared" ref="Z34" si="48">W34</f>
        <v>0</v>
      </c>
      <c r="AA34" s="85"/>
      <c r="AB34" s="20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</row>
    <row r="35" spans="1:225" s="17" customFormat="1" ht="36.75" customHeight="1" x14ac:dyDescent="0.2">
      <c r="A35" s="59" t="s">
        <v>104</v>
      </c>
      <c r="B35" s="19" t="s">
        <v>71</v>
      </c>
      <c r="C35" s="63">
        <f t="shared" si="5"/>
        <v>0</v>
      </c>
      <c r="D35" s="57">
        <v>0</v>
      </c>
      <c r="E35" s="57">
        <v>0</v>
      </c>
      <c r="F35" s="63">
        <f t="shared" si="32"/>
        <v>0</v>
      </c>
      <c r="G35" s="57">
        <f t="shared" si="33"/>
        <v>0</v>
      </c>
      <c r="H35" s="57">
        <f t="shared" si="45"/>
        <v>0</v>
      </c>
      <c r="I35" s="63">
        <f t="shared" si="34"/>
        <v>0</v>
      </c>
      <c r="J35" s="57">
        <f t="shared" si="35"/>
        <v>0</v>
      </c>
      <c r="K35" s="57">
        <f t="shared" si="46"/>
        <v>0</v>
      </c>
      <c r="L35" s="63">
        <f t="shared" si="37"/>
        <v>0</v>
      </c>
      <c r="M35" s="57">
        <f t="shared" si="38"/>
        <v>0</v>
      </c>
      <c r="N35" s="57">
        <f t="shared" si="39"/>
        <v>0</v>
      </c>
      <c r="O35" s="65">
        <f t="shared" si="12"/>
        <v>9.6660000000000004</v>
      </c>
      <c r="P35" s="18">
        <v>9.6660000000000004</v>
      </c>
      <c r="Q35" s="89">
        <v>0</v>
      </c>
      <c r="R35" s="65">
        <f t="shared" si="13"/>
        <v>9.6660000000000004</v>
      </c>
      <c r="S35" s="18">
        <f t="shared" si="40"/>
        <v>9.6660000000000004</v>
      </c>
      <c r="T35" s="18">
        <v>0</v>
      </c>
      <c r="U35" s="65">
        <f t="shared" si="14"/>
        <v>9.6660000000000004</v>
      </c>
      <c r="V35" s="18">
        <f>S35</f>
        <v>9.6660000000000004</v>
      </c>
      <c r="W35" s="18">
        <f t="shared" si="47"/>
        <v>0</v>
      </c>
      <c r="X35" s="65">
        <f t="shared" si="15"/>
        <v>9.6660000000000004</v>
      </c>
      <c r="Y35" s="18">
        <f t="shared" si="44"/>
        <v>9.6660000000000004</v>
      </c>
      <c r="Z35" s="18">
        <f t="shared" si="44"/>
        <v>0</v>
      </c>
      <c r="AA35" s="85"/>
      <c r="AB35" s="20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</row>
    <row r="36" spans="1:225" s="17" customFormat="1" ht="27" customHeight="1" x14ac:dyDescent="0.2">
      <c r="A36" s="15">
        <v>7</v>
      </c>
      <c r="B36" s="60" t="s">
        <v>11</v>
      </c>
      <c r="C36" s="63">
        <f t="shared" si="5"/>
        <v>0</v>
      </c>
      <c r="D36" s="57">
        <v>0</v>
      </c>
      <c r="E36" s="57">
        <v>0</v>
      </c>
      <c r="F36" s="63">
        <f t="shared" si="32"/>
        <v>0</v>
      </c>
      <c r="G36" s="57">
        <f t="shared" si="33"/>
        <v>0</v>
      </c>
      <c r="H36" s="57">
        <f t="shared" si="45"/>
        <v>0</v>
      </c>
      <c r="I36" s="63">
        <f t="shared" si="34"/>
        <v>0</v>
      </c>
      <c r="J36" s="57">
        <f t="shared" si="35"/>
        <v>0</v>
      </c>
      <c r="K36" s="57">
        <f t="shared" si="46"/>
        <v>0</v>
      </c>
      <c r="L36" s="63">
        <f t="shared" si="37"/>
        <v>0</v>
      </c>
      <c r="M36" s="57">
        <f t="shared" si="38"/>
        <v>0</v>
      </c>
      <c r="N36" s="57">
        <f t="shared" si="39"/>
        <v>0</v>
      </c>
      <c r="O36" s="65">
        <f t="shared" si="12"/>
        <v>0</v>
      </c>
      <c r="P36" s="18">
        <v>0</v>
      </c>
      <c r="Q36" s="89">
        <v>0</v>
      </c>
      <c r="R36" s="65">
        <f t="shared" si="13"/>
        <v>0</v>
      </c>
      <c r="S36" s="18">
        <f t="shared" si="40"/>
        <v>0</v>
      </c>
      <c r="T36" s="18">
        <v>0</v>
      </c>
      <c r="U36" s="65">
        <f t="shared" si="14"/>
        <v>0</v>
      </c>
      <c r="V36" s="18">
        <f>S36</f>
        <v>0</v>
      </c>
      <c r="W36" s="18">
        <f t="shared" si="47"/>
        <v>0</v>
      </c>
      <c r="X36" s="65">
        <f t="shared" si="15"/>
        <v>0</v>
      </c>
      <c r="Y36" s="18">
        <f t="shared" si="44"/>
        <v>0</v>
      </c>
      <c r="Z36" s="18">
        <f t="shared" si="44"/>
        <v>0</v>
      </c>
      <c r="AA36" s="86"/>
      <c r="AB36" s="20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</row>
    <row r="37" spans="1:225" s="23" customFormat="1" ht="27" customHeight="1" x14ac:dyDescent="0.25">
      <c r="A37" s="15">
        <v>8</v>
      </c>
      <c r="B37" s="62" t="s">
        <v>14</v>
      </c>
      <c r="C37" s="63">
        <f t="shared" si="5"/>
        <v>0</v>
      </c>
      <c r="D37" s="63">
        <f>SUM(D38:D51)</f>
        <v>0</v>
      </c>
      <c r="E37" s="63">
        <f t="shared" ref="E37:N37" si="49">SUM(E38:E51)</f>
        <v>0</v>
      </c>
      <c r="F37" s="63">
        <f t="shared" si="49"/>
        <v>0</v>
      </c>
      <c r="G37" s="63">
        <f t="shared" si="49"/>
        <v>0</v>
      </c>
      <c r="H37" s="63">
        <f t="shared" si="49"/>
        <v>0</v>
      </c>
      <c r="I37" s="63">
        <f t="shared" si="49"/>
        <v>3294.44</v>
      </c>
      <c r="J37" s="63">
        <f t="shared" si="49"/>
        <v>296.94</v>
      </c>
      <c r="K37" s="63">
        <f t="shared" si="49"/>
        <v>2997.5</v>
      </c>
      <c r="L37" s="63">
        <f>SUM(L38:L51)</f>
        <v>7267.1921610169484</v>
      </c>
      <c r="M37" s="63">
        <f t="shared" si="49"/>
        <v>1272.1921610169491</v>
      </c>
      <c r="N37" s="63">
        <f t="shared" si="49"/>
        <v>5995</v>
      </c>
      <c r="O37" s="63">
        <f t="shared" si="12"/>
        <v>0</v>
      </c>
      <c r="P37" s="63">
        <f t="shared" ref="P37:Z37" si="50">SUM(P38:P51)</f>
        <v>0</v>
      </c>
      <c r="Q37" s="63">
        <f t="shared" si="50"/>
        <v>0</v>
      </c>
      <c r="R37" s="63">
        <f t="shared" si="50"/>
        <v>0</v>
      </c>
      <c r="S37" s="63">
        <f t="shared" si="50"/>
        <v>0</v>
      </c>
      <c r="T37" s="63">
        <f t="shared" si="50"/>
        <v>0</v>
      </c>
      <c r="U37" s="63">
        <f t="shared" si="50"/>
        <v>0</v>
      </c>
      <c r="V37" s="63">
        <f t="shared" si="50"/>
        <v>0</v>
      </c>
      <c r="W37" s="63">
        <f t="shared" si="50"/>
        <v>0</v>
      </c>
      <c r="X37" s="63">
        <f t="shared" si="50"/>
        <v>29.616000000000003</v>
      </c>
      <c r="Y37" s="63">
        <f t="shared" si="50"/>
        <v>8.3659999999999997</v>
      </c>
      <c r="Z37" s="63">
        <f t="shared" si="50"/>
        <v>21.25</v>
      </c>
      <c r="AA37" s="85">
        <f>X37/L37</f>
        <v>4.0753016218378945E-3</v>
      </c>
      <c r="AB37" s="20">
        <f>X37-L37</f>
        <v>-7237.5761610169484</v>
      </c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GW37" s="24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</row>
    <row r="38" spans="1:225" s="8" customFormat="1" ht="42" customHeight="1" x14ac:dyDescent="0.25">
      <c r="A38" s="59" t="s">
        <v>44</v>
      </c>
      <c r="B38" s="21" t="s">
        <v>49</v>
      </c>
      <c r="C38" s="63">
        <f t="shared" si="5"/>
        <v>0</v>
      </c>
      <c r="D38" s="57">
        <v>0</v>
      </c>
      <c r="E38" s="57">
        <v>0</v>
      </c>
      <c r="F38" s="63">
        <f>G38+H38</f>
        <v>0</v>
      </c>
      <c r="G38" s="57">
        <f>D38</f>
        <v>0</v>
      </c>
      <c r="H38" s="57">
        <f>E38</f>
        <v>0</v>
      </c>
      <c r="I38" s="63">
        <f>J38+K38</f>
        <v>3294.44</v>
      </c>
      <c r="J38" s="57">
        <v>296.94</v>
      </c>
      <c r="K38" s="57">
        <v>2997.5</v>
      </c>
      <c r="L38" s="63">
        <f>M38+N38</f>
        <v>6291.94</v>
      </c>
      <c r="M38" s="57">
        <f>J38</f>
        <v>296.94</v>
      </c>
      <c r="N38" s="57">
        <f>K38+2997.5</f>
        <v>5995</v>
      </c>
      <c r="O38" s="65">
        <f t="shared" si="12"/>
        <v>0</v>
      </c>
      <c r="P38" s="18">
        <v>0</v>
      </c>
      <c r="Q38" s="18">
        <v>0</v>
      </c>
      <c r="R38" s="65">
        <f t="shared" si="13"/>
        <v>0</v>
      </c>
      <c r="S38" s="18">
        <f>P38</f>
        <v>0</v>
      </c>
      <c r="T38" s="18">
        <f>Q38</f>
        <v>0</v>
      </c>
      <c r="U38" s="65">
        <f t="shared" si="14"/>
        <v>0</v>
      </c>
      <c r="V38" s="18">
        <f>S38</f>
        <v>0</v>
      </c>
      <c r="W38" s="18">
        <f>T38</f>
        <v>0</v>
      </c>
      <c r="X38" s="65">
        <f t="shared" si="15"/>
        <v>0</v>
      </c>
      <c r="Y38" s="18">
        <f>V38</f>
        <v>0</v>
      </c>
      <c r="Z38" s="18">
        <f>W38</f>
        <v>0</v>
      </c>
      <c r="AA38" s="86"/>
      <c r="AB38" s="20"/>
    </row>
    <row r="39" spans="1:225" s="8" customFormat="1" ht="42" customHeight="1" x14ac:dyDescent="0.25">
      <c r="A39" s="59" t="s">
        <v>45</v>
      </c>
      <c r="B39" s="21" t="s">
        <v>78</v>
      </c>
      <c r="C39" s="63">
        <f t="shared" si="5"/>
        <v>0</v>
      </c>
      <c r="D39" s="57">
        <v>0</v>
      </c>
      <c r="E39" s="57">
        <v>0</v>
      </c>
      <c r="F39" s="63">
        <f t="shared" ref="F39:F51" si="51">G39+H39</f>
        <v>0</v>
      </c>
      <c r="G39" s="57">
        <f t="shared" ref="G39:G41" si="52">D39</f>
        <v>0</v>
      </c>
      <c r="H39" s="57">
        <f t="shared" ref="H39:H41" si="53">E39</f>
        <v>0</v>
      </c>
      <c r="I39" s="63">
        <f t="shared" ref="I39:I51" si="54">J39+K39</f>
        <v>0</v>
      </c>
      <c r="J39" s="57">
        <f>G39</f>
        <v>0</v>
      </c>
      <c r="K39" s="57">
        <f>H39</f>
        <v>0</v>
      </c>
      <c r="L39" s="63">
        <f t="shared" ref="L39:L51" si="55">M39+N39</f>
        <v>0</v>
      </c>
      <c r="M39" s="57">
        <f t="shared" ref="M39:M42" si="56">J39</f>
        <v>0</v>
      </c>
      <c r="N39" s="57">
        <f>K39</f>
        <v>0</v>
      </c>
      <c r="O39" s="65">
        <f t="shared" si="12"/>
        <v>0</v>
      </c>
      <c r="P39" s="18">
        <v>0</v>
      </c>
      <c r="Q39" s="18">
        <v>0</v>
      </c>
      <c r="R39" s="65">
        <f t="shared" si="13"/>
        <v>0</v>
      </c>
      <c r="S39" s="18">
        <f t="shared" ref="S39:S51" si="57">P39</f>
        <v>0</v>
      </c>
      <c r="T39" s="18">
        <f t="shared" ref="T39:T51" si="58">Q39</f>
        <v>0</v>
      </c>
      <c r="U39" s="65">
        <f t="shared" si="14"/>
        <v>0</v>
      </c>
      <c r="V39" s="18">
        <f t="shared" ref="V39:V51" si="59">S39</f>
        <v>0</v>
      </c>
      <c r="W39" s="18">
        <f t="shared" ref="W39:W51" si="60">T39</f>
        <v>0</v>
      </c>
      <c r="X39" s="65">
        <f t="shared" si="15"/>
        <v>21.25</v>
      </c>
      <c r="Y39" s="18">
        <f>V39</f>
        <v>0</v>
      </c>
      <c r="Z39" s="18">
        <f>W39+21.25</f>
        <v>21.25</v>
      </c>
      <c r="AA39" s="86"/>
      <c r="AB39" s="20"/>
    </row>
    <row r="40" spans="1:225" s="8" customFormat="1" ht="42" customHeight="1" x14ac:dyDescent="0.25">
      <c r="A40" s="59" t="s">
        <v>46</v>
      </c>
      <c r="B40" s="21" t="s">
        <v>86</v>
      </c>
      <c r="C40" s="63">
        <f t="shared" si="5"/>
        <v>0</v>
      </c>
      <c r="D40" s="57">
        <v>0</v>
      </c>
      <c r="E40" s="57">
        <v>0</v>
      </c>
      <c r="F40" s="63">
        <f t="shared" si="51"/>
        <v>0</v>
      </c>
      <c r="G40" s="57">
        <f t="shared" si="52"/>
        <v>0</v>
      </c>
      <c r="H40" s="57">
        <f t="shared" si="53"/>
        <v>0</v>
      </c>
      <c r="I40" s="63">
        <f t="shared" si="54"/>
        <v>0</v>
      </c>
      <c r="J40" s="57">
        <f t="shared" ref="J40:J51" si="61">G40</f>
        <v>0</v>
      </c>
      <c r="K40" s="57">
        <f t="shared" ref="K40:K51" si="62">H40</f>
        <v>0</v>
      </c>
      <c r="L40" s="63">
        <f t="shared" si="55"/>
        <v>0</v>
      </c>
      <c r="M40" s="57">
        <f t="shared" si="56"/>
        <v>0</v>
      </c>
      <c r="N40" s="57">
        <f t="shared" ref="N40:N42" si="63">K40</f>
        <v>0</v>
      </c>
      <c r="O40" s="65">
        <f t="shared" si="12"/>
        <v>0</v>
      </c>
      <c r="P40" s="18">
        <v>0</v>
      </c>
      <c r="Q40" s="18">
        <v>0</v>
      </c>
      <c r="R40" s="65">
        <f t="shared" si="13"/>
        <v>0</v>
      </c>
      <c r="S40" s="18">
        <f t="shared" si="57"/>
        <v>0</v>
      </c>
      <c r="T40" s="18">
        <f t="shared" si="58"/>
        <v>0</v>
      </c>
      <c r="U40" s="65">
        <f t="shared" si="14"/>
        <v>0</v>
      </c>
      <c r="V40" s="18">
        <f t="shared" si="59"/>
        <v>0</v>
      </c>
      <c r="W40" s="18">
        <f t="shared" si="60"/>
        <v>0</v>
      </c>
      <c r="X40" s="65">
        <f t="shared" si="15"/>
        <v>3.7360000000000002</v>
      </c>
      <c r="Y40" s="18">
        <f>V40+3.736</f>
        <v>3.7360000000000002</v>
      </c>
      <c r="Z40" s="18">
        <f>W40</f>
        <v>0</v>
      </c>
      <c r="AA40" s="86"/>
      <c r="AB40" s="20"/>
    </row>
    <row r="41" spans="1:225" s="8" customFormat="1" ht="42" customHeight="1" x14ac:dyDescent="0.25">
      <c r="A41" s="59" t="s">
        <v>47</v>
      </c>
      <c r="B41" s="21" t="s">
        <v>87</v>
      </c>
      <c r="C41" s="63">
        <f t="shared" si="5"/>
        <v>0</v>
      </c>
      <c r="D41" s="57">
        <v>0</v>
      </c>
      <c r="E41" s="57">
        <v>0</v>
      </c>
      <c r="F41" s="63">
        <f t="shared" si="51"/>
        <v>0</v>
      </c>
      <c r="G41" s="57">
        <f t="shared" si="52"/>
        <v>0</v>
      </c>
      <c r="H41" s="57">
        <f t="shared" si="53"/>
        <v>0</v>
      </c>
      <c r="I41" s="63">
        <f t="shared" si="54"/>
        <v>0</v>
      </c>
      <c r="J41" s="57">
        <f t="shared" si="61"/>
        <v>0</v>
      </c>
      <c r="K41" s="57">
        <f t="shared" si="62"/>
        <v>0</v>
      </c>
      <c r="L41" s="63">
        <f t="shared" si="55"/>
        <v>0</v>
      </c>
      <c r="M41" s="57">
        <f t="shared" si="56"/>
        <v>0</v>
      </c>
      <c r="N41" s="57">
        <f t="shared" si="63"/>
        <v>0</v>
      </c>
      <c r="O41" s="65">
        <f t="shared" si="12"/>
        <v>0</v>
      </c>
      <c r="P41" s="18">
        <v>0</v>
      </c>
      <c r="Q41" s="18">
        <v>0</v>
      </c>
      <c r="R41" s="65">
        <f t="shared" si="13"/>
        <v>0</v>
      </c>
      <c r="S41" s="18">
        <f t="shared" si="57"/>
        <v>0</v>
      </c>
      <c r="T41" s="18">
        <f t="shared" si="58"/>
        <v>0</v>
      </c>
      <c r="U41" s="65">
        <f t="shared" si="14"/>
        <v>0</v>
      </c>
      <c r="V41" s="18">
        <f t="shared" si="59"/>
        <v>0</v>
      </c>
      <c r="W41" s="18">
        <f t="shared" si="60"/>
        <v>0</v>
      </c>
      <c r="X41" s="65">
        <f t="shared" si="15"/>
        <v>2.1</v>
      </c>
      <c r="Y41" s="18">
        <f>V41+2.1</f>
        <v>2.1</v>
      </c>
      <c r="Z41" s="18">
        <f>W41</f>
        <v>0</v>
      </c>
      <c r="AA41" s="86"/>
      <c r="AB41" s="20"/>
    </row>
    <row r="42" spans="1:225" s="8" customFormat="1" ht="42" customHeight="1" x14ac:dyDescent="0.25">
      <c r="A42" s="59" t="s">
        <v>48</v>
      </c>
      <c r="B42" s="21" t="s">
        <v>88</v>
      </c>
      <c r="C42" s="63">
        <f t="shared" si="5"/>
        <v>0</v>
      </c>
      <c r="D42" s="57">
        <v>0</v>
      </c>
      <c r="E42" s="57">
        <v>0</v>
      </c>
      <c r="F42" s="63">
        <f t="shared" si="51"/>
        <v>0</v>
      </c>
      <c r="G42" s="57">
        <f t="shared" ref="G42:G51" si="64">D42</f>
        <v>0</v>
      </c>
      <c r="H42" s="57">
        <f t="shared" ref="H42:H51" si="65">E42</f>
        <v>0</v>
      </c>
      <c r="I42" s="63">
        <f t="shared" si="54"/>
        <v>0</v>
      </c>
      <c r="J42" s="57">
        <f t="shared" si="61"/>
        <v>0</v>
      </c>
      <c r="K42" s="57">
        <f t="shared" si="62"/>
        <v>0</v>
      </c>
      <c r="L42" s="63">
        <f t="shared" si="55"/>
        <v>0</v>
      </c>
      <c r="M42" s="57">
        <f t="shared" si="56"/>
        <v>0</v>
      </c>
      <c r="N42" s="57">
        <f t="shared" si="63"/>
        <v>0</v>
      </c>
      <c r="O42" s="65">
        <f t="shared" si="12"/>
        <v>0</v>
      </c>
      <c r="P42" s="18">
        <v>0</v>
      </c>
      <c r="Q42" s="18">
        <v>0</v>
      </c>
      <c r="R42" s="65">
        <f t="shared" si="13"/>
        <v>0</v>
      </c>
      <c r="S42" s="18">
        <f t="shared" si="57"/>
        <v>0</v>
      </c>
      <c r="T42" s="18">
        <f t="shared" si="58"/>
        <v>0</v>
      </c>
      <c r="U42" s="65">
        <f t="shared" si="14"/>
        <v>0</v>
      </c>
      <c r="V42" s="18">
        <f t="shared" si="59"/>
        <v>0</v>
      </c>
      <c r="W42" s="18">
        <f t="shared" si="60"/>
        <v>0</v>
      </c>
      <c r="X42" s="65">
        <f t="shared" ref="X42" si="66">Y42+Z42</f>
        <v>2.5299999999999998</v>
      </c>
      <c r="Y42" s="18">
        <f>V42+2.53</f>
        <v>2.5299999999999998</v>
      </c>
      <c r="Z42" s="18">
        <f>W42</f>
        <v>0</v>
      </c>
      <c r="AA42" s="86"/>
      <c r="AB42" s="20"/>
    </row>
    <row r="43" spans="1:225" s="8" customFormat="1" ht="57.75" customHeight="1" x14ac:dyDescent="0.25">
      <c r="A43" s="59" t="s">
        <v>59</v>
      </c>
      <c r="B43" s="21" t="s">
        <v>50</v>
      </c>
      <c r="C43" s="63">
        <f t="shared" si="5"/>
        <v>0</v>
      </c>
      <c r="D43" s="57">
        <v>0</v>
      </c>
      <c r="E43" s="57">
        <v>0</v>
      </c>
      <c r="F43" s="63">
        <f t="shared" si="51"/>
        <v>0</v>
      </c>
      <c r="G43" s="57">
        <f t="shared" si="64"/>
        <v>0</v>
      </c>
      <c r="H43" s="57">
        <f t="shared" si="65"/>
        <v>0</v>
      </c>
      <c r="I43" s="63">
        <f t="shared" si="54"/>
        <v>0</v>
      </c>
      <c r="J43" s="57">
        <f t="shared" si="61"/>
        <v>0</v>
      </c>
      <c r="K43" s="57">
        <f t="shared" si="62"/>
        <v>0</v>
      </c>
      <c r="L43" s="63">
        <f t="shared" si="55"/>
        <v>678.31</v>
      </c>
      <c r="M43" s="57">
        <v>678.31</v>
      </c>
      <c r="N43" s="18">
        <f>K43</f>
        <v>0</v>
      </c>
      <c r="O43" s="65">
        <f t="shared" si="12"/>
        <v>0</v>
      </c>
      <c r="P43" s="18">
        <v>0</v>
      </c>
      <c r="Q43" s="18">
        <v>0</v>
      </c>
      <c r="R43" s="65">
        <f t="shared" si="13"/>
        <v>0</v>
      </c>
      <c r="S43" s="18">
        <f t="shared" si="57"/>
        <v>0</v>
      </c>
      <c r="T43" s="18">
        <f t="shared" si="58"/>
        <v>0</v>
      </c>
      <c r="U43" s="65">
        <f t="shared" si="14"/>
        <v>0</v>
      </c>
      <c r="V43" s="18">
        <f t="shared" si="59"/>
        <v>0</v>
      </c>
      <c r="W43" s="18">
        <f t="shared" si="60"/>
        <v>0</v>
      </c>
      <c r="X43" s="65">
        <f t="shared" si="15"/>
        <v>0</v>
      </c>
      <c r="Y43" s="18">
        <f t="shared" ref="Y43:Z51" si="67">V43</f>
        <v>0</v>
      </c>
      <c r="Z43" s="18">
        <f t="shared" si="67"/>
        <v>0</v>
      </c>
      <c r="AA43" s="86"/>
      <c r="AB43" s="20"/>
    </row>
    <row r="44" spans="1:225" s="8" customFormat="1" ht="33.75" customHeight="1" x14ac:dyDescent="0.25">
      <c r="A44" s="59" t="s">
        <v>60</v>
      </c>
      <c r="B44" s="21" t="s">
        <v>51</v>
      </c>
      <c r="C44" s="63">
        <f t="shared" si="5"/>
        <v>0</v>
      </c>
      <c r="D44" s="57">
        <v>0</v>
      </c>
      <c r="E44" s="57">
        <v>0</v>
      </c>
      <c r="F44" s="63">
        <f t="shared" si="51"/>
        <v>0</v>
      </c>
      <c r="G44" s="57">
        <f t="shared" si="64"/>
        <v>0</v>
      </c>
      <c r="H44" s="57">
        <f t="shared" si="65"/>
        <v>0</v>
      </c>
      <c r="I44" s="63">
        <f t="shared" si="54"/>
        <v>0</v>
      </c>
      <c r="J44" s="57">
        <f t="shared" si="61"/>
        <v>0</v>
      </c>
      <c r="K44" s="57">
        <f t="shared" si="62"/>
        <v>0</v>
      </c>
      <c r="L44" s="63">
        <f t="shared" si="55"/>
        <v>17.491525423728799</v>
      </c>
      <c r="M44" s="18">
        <v>17.491525423728799</v>
      </c>
      <c r="N44" s="18">
        <f t="shared" ref="N44:N51" si="68">K44</f>
        <v>0</v>
      </c>
      <c r="O44" s="65">
        <f t="shared" si="12"/>
        <v>0</v>
      </c>
      <c r="P44" s="18">
        <v>0</v>
      </c>
      <c r="Q44" s="18">
        <v>0</v>
      </c>
      <c r="R44" s="65">
        <f t="shared" si="13"/>
        <v>0</v>
      </c>
      <c r="S44" s="18">
        <f t="shared" si="57"/>
        <v>0</v>
      </c>
      <c r="T44" s="18">
        <f t="shared" si="58"/>
        <v>0</v>
      </c>
      <c r="U44" s="65">
        <f t="shared" si="14"/>
        <v>0</v>
      </c>
      <c r="V44" s="18">
        <f t="shared" si="59"/>
        <v>0</v>
      </c>
      <c r="W44" s="18">
        <f t="shared" si="60"/>
        <v>0</v>
      </c>
      <c r="X44" s="65">
        <f t="shared" si="15"/>
        <v>0</v>
      </c>
      <c r="Y44" s="18">
        <f t="shared" si="67"/>
        <v>0</v>
      </c>
      <c r="Z44" s="18">
        <f t="shared" si="67"/>
        <v>0</v>
      </c>
      <c r="AA44" s="86"/>
      <c r="AB44" s="20"/>
    </row>
    <row r="45" spans="1:225" s="8" customFormat="1" ht="33.75" customHeight="1" x14ac:dyDescent="0.25">
      <c r="A45" s="59" t="s">
        <v>61</v>
      </c>
      <c r="B45" s="21" t="s">
        <v>52</v>
      </c>
      <c r="C45" s="63">
        <f t="shared" si="5"/>
        <v>0</v>
      </c>
      <c r="D45" s="57">
        <v>0</v>
      </c>
      <c r="E45" s="57">
        <v>0</v>
      </c>
      <c r="F45" s="63">
        <f t="shared" si="51"/>
        <v>0</v>
      </c>
      <c r="G45" s="57">
        <f t="shared" si="64"/>
        <v>0</v>
      </c>
      <c r="H45" s="57">
        <f t="shared" si="65"/>
        <v>0</v>
      </c>
      <c r="I45" s="63">
        <f t="shared" si="54"/>
        <v>0</v>
      </c>
      <c r="J45" s="57">
        <f t="shared" si="61"/>
        <v>0</v>
      </c>
      <c r="K45" s="57">
        <f t="shared" si="62"/>
        <v>0</v>
      </c>
      <c r="L45" s="63">
        <f t="shared" si="55"/>
        <v>15.7203389830508</v>
      </c>
      <c r="M45" s="18">
        <v>15.7203389830508</v>
      </c>
      <c r="N45" s="18">
        <f t="shared" si="68"/>
        <v>0</v>
      </c>
      <c r="O45" s="65">
        <f t="shared" si="12"/>
        <v>0</v>
      </c>
      <c r="P45" s="18">
        <v>0</v>
      </c>
      <c r="Q45" s="18">
        <v>0</v>
      </c>
      <c r="R45" s="65">
        <f t="shared" si="13"/>
        <v>0</v>
      </c>
      <c r="S45" s="18">
        <f t="shared" si="57"/>
        <v>0</v>
      </c>
      <c r="T45" s="18">
        <f t="shared" si="58"/>
        <v>0</v>
      </c>
      <c r="U45" s="65">
        <f t="shared" si="14"/>
        <v>0</v>
      </c>
      <c r="V45" s="18">
        <f t="shared" si="59"/>
        <v>0</v>
      </c>
      <c r="W45" s="18">
        <f t="shared" si="60"/>
        <v>0</v>
      </c>
      <c r="X45" s="65">
        <f t="shared" si="15"/>
        <v>0</v>
      </c>
      <c r="Y45" s="18">
        <f t="shared" si="67"/>
        <v>0</v>
      </c>
      <c r="Z45" s="18">
        <f t="shared" si="67"/>
        <v>0</v>
      </c>
      <c r="AA45" s="86"/>
      <c r="AB45" s="20"/>
    </row>
    <row r="46" spans="1:225" s="8" customFormat="1" ht="33.75" customHeight="1" x14ac:dyDescent="0.25">
      <c r="A46" s="59" t="s">
        <v>62</v>
      </c>
      <c r="B46" s="21" t="s">
        <v>53</v>
      </c>
      <c r="C46" s="63">
        <f t="shared" si="5"/>
        <v>0</v>
      </c>
      <c r="D46" s="57">
        <v>0</v>
      </c>
      <c r="E46" s="57">
        <v>0</v>
      </c>
      <c r="F46" s="63">
        <f t="shared" si="51"/>
        <v>0</v>
      </c>
      <c r="G46" s="57">
        <f t="shared" si="64"/>
        <v>0</v>
      </c>
      <c r="H46" s="57">
        <f t="shared" si="65"/>
        <v>0</v>
      </c>
      <c r="I46" s="63">
        <f t="shared" si="54"/>
        <v>0</v>
      </c>
      <c r="J46" s="57">
        <f t="shared" si="61"/>
        <v>0</v>
      </c>
      <c r="K46" s="57">
        <f t="shared" si="62"/>
        <v>0</v>
      </c>
      <c r="L46" s="63">
        <f t="shared" si="55"/>
        <v>28.163474576271202</v>
      </c>
      <c r="M46" s="18">
        <v>28.163474576271202</v>
      </c>
      <c r="N46" s="18">
        <f t="shared" si="68"/>
        <v>0</v>
      </c>
      <c r="O46" s="65">
        <f t="shared" si="12"/>
        <v>0</v>
      </c>
      <c r="P46" s="18">
        <v>0</v>
      </c>
      <c r="Q46" s="18">
        <v>0</v>
      </c>
      <c r="R46" s="65">
        <f t="shared" si="13"/>
        <v>0</v>
      </c>
      <c r="S46" s="18">
        <f t="shared" si="57"/>
        <v>0</v>
      </c>
      <c r="T46" s="18">
        <f t="shared" si="58"/>
        <v>0</v>
      </c>
      <c r="U46" s="65">
        <f t="shared" si="14"/>
        <v>0</v>
      </c>
      <c r="V46" s="18">
        <f t="shared" si="59"/>
        <v>0</v>
      </c>
      <c r="W46" s="18">
        <f t="shared" si="60"/>
        <v>0</v>
      </c>
      <c r="X46" s="65">
        <f t="shared" si="15"/>
        <v>0</v>
      </c>
      <c r="Y46" s="18">
        <f t="shared" si="67"/>
        <v>0</v>
      </c>
      <c r="Z46" s="18">
        <f t="shared" si="67"/>
        <v>0</v>
      </c>
      <c r="AA46" s="86"/>
      <c r="AB46" s="20"/>
    </row>
    <row r="47" spans="1:225" s="8" customFormat="1" ht="33.75" customHeight="1" x14ac:dyDescent="0.25">
      <c r="A47" s="59" t="s">
        <v>63</v>
      </c>
      <c r="B47" s="21" t="s">
        <v>54</v>
      </c>
      <c r="C47" s="63">
        <f t="shared" si="5"/>
        <v>0</v>
      </c>
      <c r="D47" s="57">
        <v>0</v>
      </c>
      <c r="E47" s="57">
        <v>0</v>
      </c>
      <c r="F47" s="63">
        <f t="shared" si="51"/>
        <v>0</v>
      </c>
      <c r="G47" s="57">
        <f t="shared" si="64"/>
        <v>0</v>
      </c>
      <c r="H47" s="57">
        <f t="shared" si="65"/>
        <v>0</v>
      </c>
      <c r="I47" s="63">
        <f t="shared" si="54"/>
        <v>0</v>
      </c>
      <c r="J47" s="57">
        <f t="shared" si="61"/>
        <v>0</v>
      </c>
      <c r="K47" s="57">
        <f t="shared" si="62"/>
        <v>0</v>
      </c>
      <c r="L47" s="63">
        <f t="shared" si="55"/>
        <v>36.610169491525397</v>
      </c>
      <c r="M47" s="18">
        <v>36.610169491525397</v>
      </c>
      <c r="N47" s="18">
        <f t="shared" si="68"/>
        <v>0</v>
      </c>
      <c r="O47" s="65">
        <f t="shared" si="12"/>
        <v>0</v>
      </c>
      <c r="P47" s="18">
        <v>0</v>
      </c>
      <c r="Q47" s="18">
        <v>0</v>
      </c>
      <c r="R47" s="65">
        <f t="shared" si="13"/>
        <v>0</v>
      </c>
      <c r="S47" s="18">
        <f t="shared" si="57"/>
        <v>0</v>
      </c>
      <c r="T47" s="18">
        <f t="shared" si="58"/>
        <v>0</v>
      </c>
      <c r="U47" s="65">
        <f t="shared" si="14"/>
        <v>0</v>
      </c>
      <c r="V47" s="18">
        <f t="shared" si="59"/>
        <v>0</v>
      </c>
      <c r="W47" s="18">
        <f t="shared" si="60"/>
        <v>0</v>
      </c>
      <c r="X47" s="65">
        <f t="shared" si="15"/>
        <v>0</v>
      </c>
      <c r="Y47" s="18">
        <f t="shared" si="67"/>
        <v>0</v>
      </c>
      <c r="Z47" s="18">
        <f t="shared" si="67"/>
        <v>0</v>
      </c>
      <c r="AA47" s="86"/>
      <c r="AB47" s="20"/>
    </row>
    <row r="48" spans="1:225" s="8" customFormat="1" ht="57" customHeight="1" x14ac:dyDescent="0.25">
      <c r="A48" s="59" t="s">
        <v>105</v>
      </c>
      <c r="B48" s="21" t="s">
        <v>55</v>
      </c>
      <c r="C48" s="63">
        <f t="shared" si="5"/>
        <v>0</v>
      </c>
      <c r="D48" s="57">
        <v>0</v>
      </c>
      <c r="E48" s="57">
        <v>0</v>
      </c>
      <c r="F48" s="63">
        <f t="shared" si="51"/>
        <v>0</v>
      </c>
      <c r="G48" s="57">
        <f t="shared" si="64"/>
        <v>0</v>
      </c>
      <c r="H48" s="57">
        <f t="shared" si="65"/>
        <v>0</v>
      </c>
      <c r="I48" s="63">
        <f t="shared" si="54"/>
        <v>0</v>
      </c>
      <c r="J48" s="57">
        <f t="shared" si="61"/>
        <v>0</v>
      </c>
      <c r="K48" s="57">
        <f t="shared" si="62"/>
        <v>0</v>
      </c>
      <c r="L48" s="63">
        <f t="shared" si="55"/>
        <v>50.991525423728802</v>
      </c>
      <c r="M48" s="18">
        <v>50.991525423728802</v>
      </c>
      <c r="N48" s="18">
        <f t="shared" si="68"/>
        <v>0</v>
      </c>
      <c r="O48" s="65">
        <f t="shared" si="12"/>
        <v>0</v>
      </c>
      <c r="P48" s="18">
        <v>0</v>
      </c>
      <c r="Q48" s="18">
        <v>0</v>
      </c>
      <c r="R48" s="65">
        <f t="shared" si="13"/>
        <v>0</v>
      </c>
      <c r="S48" s="18">
        <f t="shared" si="57"/>
        <v>0</v>
      </c>
      <c r="T48" s="18">
        <f t="shared" si="58"/>
        <v>0</v>
      </c>
      <c r="U48" s="65">
        <f t="shared" si="14"/>
        <v>0</v>
      </c>
      <c r="V48" s="18">
        <f t="shared" si="59"/>
        <v>0</v>
      </c>
      <c r="W48" s="18">
        <f t="shared" si="60"/>
        <v>0</v>
      </c>
      <c r="X48" s="65">
        <f t="shared" si="15"/>
        <v>0</v>
      </c>
      <c r="Y48" s="18">
        <f t="shared" si="67"/>
        <v>0</v>
      </c>
      <c r="Z48" s="18">
        <f t="shared" si="67"/>
        <v>0</v>
      </c>
      <c r="AA48" s="86"/>
      <c r="AB48" s="20"/>
    </row>
    <row r="49" spans="1:225" s="8" customFormat="1" ht="33.75" customHeight="1" x14ac:dyDescent="0.25">
      <c r="A49" s="59" t="s">
        <v>106</v>
      </c>
      <c r="B49" s="21" t="s">
        <v>56</v>
      </c>
      <c r="C49" s="63">
        <f t="shared" si="5"/>
        <v>0</v>
      </c>
      <c r="D49" s="57">
        <v>0</v>
      </c>
      <c r="E49" s="57">
        <v>0</v>
      </c>
      <c r="F49" s="63">
        <f t="shared" si="51"/>
        <v>0</v>
      </c>
      <c r="G49" s="57">
        <f t="shared" si="64"/>
        <v>0</v>
      </c>
      <c r="H49" s="57">
        <f t="shared" si="65"/>
        <v>0</v>
      </c>
      <c r="I49" s="63">
        <f t="shared" si="54"/>
        <v>0</v>
      </c>
      <c r="J49" s="57">
        <f t="shared" si="61"/>
        <v>0</v>
      </c>
      <c r="K49" s="57">
        <f t="shared" si="62"/>
        <v>0</v>
      </c>
      <c r="L49" s="63">
        <f t="shared" si="55"/>
        <v>44.135593220338997</v>
      </c>
      <c r="M49" s="18">
        <v>44.135593220338997</v>
      </c>
      <c r="N49" s="18">
        <f t="shared" si="68"/>
        <v>0</v>
      </c>
      <c r="O49" s="65">
        <f t="shared" si="12"/>
        <v>0</v>
      </c>
      <c r="P49" s="18">
        <v>0</v>
      </c>
      <c r="Q49" s="18">
        <v>0</v>
      </c>
      <c r="R49" s="65">
        <f t="shared" si="13"/>
        <v>0</v>
      </c>
      <c r="S49" s="18">
        <f t="shared" si="57"/>
        <v>0</v>
      </c>
      <c r="T49" s="18">
        <f t="shared" si="58"/>
        <v>0</v>
      </c>
      <c r="U49" s="65">
        <f t="shared" si="14"/>
        <v>0</v>
      </c>
      <c r="V49" s="18">
        <f t="shared" si="59"/>
        <v>0</v>
      </c>
      <c r="W49" s="18">
        <f t="shared" si="60"/>
        <v>0</v>
      </c>
      <c r="X49" s="65">
        <f t="shared" si="15"/>
        <v>0</v>
      </c>
      <c r="Y49" s="18">
        <f t="shared" si="67"/>
        <v>0</v>
      </c>
      <c r="Z49" s="18">
        <f t="shared" si="67"/>
        <v>0</v>
      </c>
      <c r="AA49" s="86"/>
      <c r="AB49" s="20"/>
    </row>
    <row r="50" spans="1:225" s="8" customFormat="1" ht="60.75" customHeight="1" x14ac:dyDescent="0.25">
      <c r="A50" s="59" t="s">
        <v>107</v>
      </c>
      <c r="B50" s="21" t="s">
        <v>57</v>
      </c>
      <c r="C50" s="63">
        <f t="shared" si="5"/>
        <v>0</v>
      </c>
      <c r="D50" s="57">
        <v>0</v>
      </c>
      <c r="E50" s="57">
        <v>0</v>
      </c>
      <c r="F50" s="63">
        <f t="shared" si="51"/>
        <v>0</v>
      </c>
      <c r="G50" s="57">
        <f t="shared" si="64"/>
        <v>0</v>
      </c>
      <c r="H50" s="57">
        <f t="shared" si="65"/>
        <v>0</v>
      </c>
      <c r="I50" s="63">
        <f t="shared" si="54"/>
        <v>0</v>
      </c>
      <c r="J50" s="57">
        <f t="shared" si="61"/>
        <v>0</v>
      </c>
      <c r="K50" s="57">
        <f t="shared" si="62"/>
        <v>0</v>
      </c>
      <c r="L50" s="63">
        <f t="shared" si="55"/>
        <v>49.830508474576298</v>
      </c>
      <c r="M50" s="18">
        <v>49.830508474576298</v>
      </c>
      <c r="N50" s="18">
        <f t="shared" si="68"/>
        <v>0</v>
      </c>
      <c r="O50" s="65">
        <f t="shared" si="12"/>
        <v>0</v>
      </c>
      <c r="P50" s="18">
        <v>0</v>
      </c>
      <c r="Q50" s="18">
        <v>0</v>
      </c>
      <c r="R50" s="65">
        <f t="shared" si="13"/>
        <v>0</v>
      </c>
      <c r="S50" s="18">
        <f t="shared" si="57"/>
        <v>0</v>
      </c>
      <c r="T50" s="18">
        <f t="shared" si="58"/>
        <v>0</v>
      </c>
      <c r="U50" s="65">
        <f t="shared" si="14"/>
        <v>0</v>
      </c>
      <c r="V50" s="18">
        <f t="shared" si="59"/>
        <v>0</v>
      </c>
      <c r="W50" s="18">
        <f t="shared" si="60"/>
        <v>0</v>
      </c>
      <c r="X50" s="65">
        <f t="shared" si="15"/>
        <v>0</v>
      </c>
      <c r="Y50" s="18">
        <f t="shared" si="67"/>
        <v>0</v>
      </c>
      <c r="Z50" s="18">
        <f t="shared" si="67"/>
        <v>0</v>
      </c>
      <c r="AA50" s="86"/>
      <c r="AB50" s="20"/>
    </row>
    <row r="51" spans="1:225" s="8" customFormat="1" ht="46.5" customHeight="1" x14ac:dyDescent="0.25">
      <c r="A51" s="59" t="s">
        <v>108</v>
      </c>
      <c r="B51" s="21" t="s">
        <v>58</v>
      </c>
      <c r="C51" s="63">
        <f t="shared" si="5"/>
        <v>0</v>
      </c>
      <c r="D51" s="57">
        <v>0</v>
      </c>
      <c r="E51" s="57">
        <v>0</v>
      </c>
      <c r="F51" s="63">
        <f t="shared" si="51"/>
        <v>0</v>
      </c>
      <c r="G51" s="57">
        <f t="shared" si="64"/>
        <v>0</v>
      </c>
      <c r="H51" s="57">
        <f t="shared" si="65"/>
        <v>0</v>
      </c>
      <c r="I51" s="63">
        <f t="shared" si="54"/>
        <v>0</v>
      </c>
      <c r="J51" s="57">
        <f t="shared" si="61"/>
        <v>0</v>
      </c>
      <c r="K51" s="57">
        <f t="shared" si="62"/>
        <v>0</v>
      </c>
      <c r="L51" s="63">
        <f t="shared" si="55"/>
        <v>53.999025423728803</v>
      </c>
      <c r="M51" s="18">
        <v>53.999025423728803</v>
      </c>
      <c r="N51" s="18">
        <f t="shared" si="68"/>
        <v>0</v>
      </c>
      <c r="O51" s="65">
        <f t="shared" si="12"/>
        <v>0</v>
      </c>
      <c r="P51" s="18">
        <v>0</v>
      </c>
      <c r="Q51" s="18">
        <v>0</v>
      </c>
      <c r="R51" s="65">
        <f t="shared" si="13"/>
        <v>0</v>
      </c>
      <c r="S51" s="18">
        <f t="shared" si="57"/>
        <v>0</v>
      </c>
      <c r="T51" s="18">
        <f t="shared" si="58"/>
        <v>0</v>
      </c>
      <c r="U51" s="65">
        <f t="shared" si="14"/>
        <v>0</v>
      </c>
      <c r="V51" s="18">
        <f t="shared" si="59"/>
        <v>0</v>
      </c>
      <c r="W51" s="18">
        <f t="shared" si="60"/>
        <v>0</v>
      </c>
      <c r="X51" s="65">
        <f t="shared" si="15"/>
        <v>0</v>
      </c>
      <c r="Y51" s="18">
        <f t="shared" si="67"/>
        <v>0</v>
      </c>
      <c r="Z51" s="18">
        <f t="shared" si="67"/>
        <v>0</v>
      </c>
      <c r="AA51" s="86"/>
      <c r="AB51" s="20"/>
    </row>
    <row r="52" spans="1:225" s="26" customFormat="1" ht="35.25" customHeight="1" x14ac:dyDescent="0.3">
      <c r="A52" s="42"/>
      <c r="B52" s="43" t="s">
        <v>12</v>
      </c>
      <c r="C52" s="68">
        <f>C37+C22+C11</f>
        <v>2240</v>
      </c>
      <c r="D52" s="68">
        <f>D37+D22+D11</f>
        <v>0</v>
      </c>
      <c r="E52" s="68">
        <f>E37+E22+E11</f>
        <v>2240</v>
      </c>
      <c r="F52" s="68">
        <v>5479.65</v>
      </c>
      <c r="G52" s="68">
        <v>45</v>
      </c>
      <c r="H52" s="68">
        <v>5479.65</v>
      </c>
      <c r="I52" s="68">
        <f t="shared" ref="I52:N52" si="69">I37+I22+I11</f>
        <v>10924.09</v>
      </c>
      <c r="J52" s="68">
        <f t="shared" si="69"/>
        <v>296.94</v>
      </c>
      <c r="K52" s="68">
        <f t="shared" si="69"/>
        <v>10627.15</v>
      </c>
      <c r="L52" s="68">
        <f t="shared" si="69"/>
        <v>14896.842161016948</v>
      </c>
      <c r="M52" s="68">
        <f t="shared" si="69"/>
        <v>1272.1921610169491</v>
      </c>
      <c r="N52" s="68">
        <f t="shared" si="69"/>
        <v>13624.65</v>
      </c>
      <c r="O52" s="68">
        <f>P52+Q52</f>
        <v>906.79700000000003</v>
      </c>
      <c r="P52" s="68">
        <f t="shared" ref="P52:Z52" si="70">P11+P22+P37</f>
        <v>543.63499999999999</v>
      </c>
      <c r="Q52" s="68">
        <f t="shared" si="70"/>
        <v>363.16199999999998</v>
      </c>
      <c r="R52" s="68">
        <f t="shared" si="70"/>
        <v>2401.6819599999999</v>
      </c>
      <c r="S52" s="68">
        <f t="shared" si="70"/>
        <v>585.23</v>
      </c>
      <c r="T52" s="68">
        <f t="shared" si="70"/>
        <v>1816.4519599999999</v>
      </c>
      <c r="U52" s="68">
        <f t="shared" si="70"/>
        <v>5007.7169599999997</v>
      </c>
      <c r="V52" s="68">
        <f t="shared" si="70"/>
        <v>611.18500000000006</v>
      </c>
      <c r="W52" s="68">
        <f t="shared" si="70"/>
        <v>4396.5319599999993</v>
      </c>
      <c r="X52" s="68">
        <f t="shared" si="70"/>
        <v>13927.696959999999</v>
      </c>
      <c r="Y52" s="68">
        <f t="shared" si="70"/>
        <v>666.39499999999998</v>
      </c>
      <c r="Z52" s="68">
        <f t="shared" si="70"/>
        <v>13261.301960000001</v>
      </c>
      <c r="AA52" s="85">
        <f>X52/L52</f>
        <v>0.93494291001128593</v>
      </c>
      <c r="AB52" s="20">
        <f>X52-L52</f>
        <v>-969.1452010169487</v>
      </c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</row>
    <row r="53" spans="1:225" x14ac:dyDescent="0.25"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79"/>
      <c r="M53" s="79"/>
      <c r="N53" s="79"/>
    </row>
    <row r="54" spans="1:225" x14ac:dyDescent="0.25"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79"/>
      <c r="M54" s="79"/>
      <c r="N54" s="79"/>
      <c r="U54" s="87"/>
      <c r="Z54" s="87"/>
    </row>
    <row r="55" spans="1:225" x14ac:dyDescent="0.25"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79"/>
      <c r="M55" s="79"/>
      <c r="N55" s="79"/>
      <c r="T55" s="87"/>
      <c r="V55" s="87"/>
      <c r="W55" s="87"/>
    </row>
    <row r="56" spans="1:225" x14ac:dyDescent="0.25"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79"/>
      <c r="M56" s="79"/>
      <c r="N56" s="79"/>
      <c r="Y56" s="87"/>
      <c r="Z56" s="87"/>
    </row>
    <row r="57" spans="1:225" x14ac:dyDescent="0.25"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79"/>
      <c r="M57" s="79"/>
      <c r="N57" s="79"/>
    </row>
    <row r="58" spans="1:225" ht="23.25" x14ac:dyDescent="0.35">
      <c r="B58" s="27"/>
      <c r="C58" s="28"/>
      <c r="D58" s="45" t="s">
        <v>23</v>
      </c>
      <c r="E58" s="45"/>
      <c r="F58" s="45"/>
      <c r="G58" s="45"/>
      <c r="H58" s="45"/>
      <c r="I58" s="45"/>
      <c r="J58" s="45"/>
      <c r="K58" s="46" t="s">
        <v>65</v>
      </c>
      <c r="L58" s="45"/>
      <c r="M58" s="45"/>
      <c r="N58" s="45"/>
      <c r="O58" s="46"/>
      <c r="P58" s="46"/>
      <c r="Q58" s="90"/>
      <c r="R58" s="46"/>
      <c r="T58" s="90"/>
      <c r="U58" s="91"/>
      <c r="W58" s="109"/>
      <c r="X58" s="110"/>
      <c r="Z58" s="107"/>
      <c r="AA58" s="108"/>
    </row>
    <row r="59" spans="1:225" ht="18" customHeight="1" x14ac:dyDescent="0.25"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Z59" s="87"/>
      <c r="AA59" s="76"/>
    </row>
    <row r="60" spans="1:225" ht="22.5" customHeight="1" x14ac:dyDescent="0.35">
      <c r="B60" s="27"/>
      <c r="C60" s="28"/>
      <c r="D60" s="45"/>
      <c r="E60" s="45"/>
      <c r="F60" s="45"/>
      <c r="G60" s="45"/>
      <c r="H60" s="45"/>
      <c r="I60" s="45"/>
      <c r="J60" s="45"/>
      <c r="K60" s="46"/>
      <c r="L60" s="28"/>
      <c r="M60" s="28"/>
      <c r="N60" s="28"/>
      <c r="AA60" s="77"/>
    </row>
    <row r="61" spans="1:225" ht="35.25" customHeight="1" x14ac:dyDescent="0.25"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AA61" s="76"/>
    </row>
    <row r="62" spans="1:225" x14ac:dyDescent="0.25">
      <c r="B62" s="80"/>
      <c r="C62" s="28"/>
      <c r="D62" s="28" t="s">
        <v>109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225" x14ac:dyDescent="0.25">
      <c r="B63" s="80"/>
      <c r="C63" s="28"/>
      <c r="D63" s="28" t="s">
        <v>110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225" x14ac:dyDescent="0.25"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225" s="32" customFormat="1" ht="18.75" x14ac:dyDescent="0.3">
      <c r="A65" s="29"/>
      <c r="B65" s="99"/>
      <c r="C65" s="99"/>
      <c r="D65" s="99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</row>
    <row r="66" spans="1:225" s="32" customFormat="1" ht="18.75" x14ac:dyDescent="0.3">
      <c r="A66" s="29"/>
      <c r="B66" s="48"/>
      <c r="C66" s="48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</row>
    <row r="67" spans="1:225" s="32" customFormat="1" ht="18.75" x14ac:dyDescent="0.3">
      <c r="A67" s="29"/>
      <c r="B67" s="5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</row>
    <row r="68" spans="1:225" s="32" customFormat="1" ht="18.75" x14ac:dyDescent="0.3">
      <c r="A68" s="29"/>
      <c r="B68" s="5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</row>
    <row r="69" spans="1:225" s="32" customFormat="1" ht="18.75" x14ac:dyDescent="0.3">
      <c r="A69" s="29"/>
      <c r="B69" s="93"/>
      <c r="C69" s="93"/>
      <c r="D69" s="5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</row>
    <row r="70" spans="1:225" s="32" customFormat="1" ht="18.75" x14ac:dyDescent="0.3">
      <c r="A70" s="29"/>
      <c r="B70" s="36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</row>
    <row r="71" spans="1:225" s="8" customFormat="1" x14ac:dyDescent="0.25">
      <c r="A71" s="3"/>
      <c r="B71" s="37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</row>
    <row r="72" spans="1:225" s="8" customFormat="1" x14ac:dyDescent="0.25">
      <c r="A72" s="3"/>
      <c r="B72" s="2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</row>
    <row r="73" spans="1:225" s="8" customFormat="1" x14ac:dyDescent="0.25">
      <c r="A73" s="3"/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</row>
    <row r="74" spans="1:225" s="8" customFormat="1" x14ac:dyDescent="0.25">
      <c r="A74" s="3"/>
      <c r="B74" s="27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</row>
    <row r="75" spans="1:225" s="8" customFormat="1" x14ac:dyDescent="0.25">
      <c r="A75" s="3"/>
      <c r="B75" s="27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</row>
    <row r="76" spans="1:225" s="8" customFormat="1" x14ac:dyDescent="0.25">
      <c r="A76" s="3"/>
      <c r="B76" s="27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</row>
    <row r="77" spans="1:225" s="8" customFormat="1" x14ac:dyDescent="0.25">
      <c r="A77" s="3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</row>
    <row r="78" spans="1:225" s="8" customFormat="1" x14ac:dyDescent="0.25">
      <c r="A78" s="3"/>
      <c r="B78" s="27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</row>
    <row r="79" spans="1:225" s="8" customFormat="1" x14ac:dyDescent="0.25">
      <c r="A79" s="3"/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</row>
  </sheetData>
  <mergeCells count="35">
    <mergeCell ref="X6:Z6"/>
    <mergeCell ref="Z58:AA58"/>
    <mergeCell ref="M7:N7"/>
    <mergeCell ref="B65:N65"/>
    <mergeCell ref="J7:K7"/>
    <mergeCell ref="W58:X58"/>
    <mergeCell ref="L7:L8"/>
    <mergeCell ref="B69:C69"/>
    <mergeCell ref="S7:T7"/>
    <mergeCell ref="U7:U8"/>
    <mergeCell ref="V7:W7"/>
    <mergeCell ref="X7:X8"/>
    <mergeCell ref="P7:Q7"/>
    <mergeCell ref="R7:R8"/>
    <mergeCell ref="C7:C8"/>
    <mergeCell ref="D7:E7"/>
    <mergeCell ref="F7:F8"/>
    <mergeCell ref="G7:H7"/>
    <mergeCell ref="I7:I8"/>
    <mergeCell ref="A3:AB3"/>
    <mergeCell ref="A5:A8"/>
    <mergeCell ref="B5:B8"/>
    <mergeCell ref="C5:N5"/>
    <mergeCell ref="O5:Z5"/>
    <mergeCell ref="AA5:AA8"/>
    <mergeCell ref="AB5:AB8"/>
    <mergeCell ref="C6:E6"/>
    <mergeCell ref="F6:H6"/>
    <mergeCell ref="I6:K6"/>
    <mergeCell ref="L6:N6"/>
    <mergeCell ref="O6:Q6"/>
    <mergeCell ref="Y7:Z7"/>
    <mergeCell ref="O7:O8"/>
    <mergeCell ref="U6:W6"/>
    <mergeCell ref="R6:T6"/>
  </mergeCells>
  <printOptions horizontalCentered="1"/>
  <pageMargins left="0.19685039370078741" right="0.19685039370078741" top="0.98425196850393704" bottom="0.39370078740157483" header="0.15748031496062992" footer="0.19685039370078741"/>
  <pageSetup paperSize="9" scale="32" fitToHeight="0" orientation="landscape" blackAndWhite="1" r:id="rId1"/>
  <headerFooter alignWithMargins="0"/>
  <rowBreaks count="1" manualBreakCount="1">
    <brk id="6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план 19г </vt:lpstr>
      <vt:lpstr>план 19г развернутый</vt:lpstr>
      <vt:lpstr>отчет за 12 мес  2019</vt:lpstr>
      <vt:lpstr>отчет развернут за 12 мес 2019г</vt:lpstr>
      <vt:lpstr>'отчет за 12 мес  2019'!Заголовки_для_печати</vt:lpstr>
      <vt:lpstr>'отчет развернут за 12 мес 2019г'!Заголовки_для_печати</vt:lpstr>
      <vt:lpstr>'план 19г '!Заголовки_для_печати</vt:lpstr>
      <vt:lpstr>'план 19г развернутый'!Заголовки_для_печати</vt:lpstr>
      <vt:lpstr>'отчет за 12 мес  2019'!Область_печати</vt:lpstr>
      <vt:lpstr>'отчет развернут за 12 мес 2019г'!Область_печати</vt:lpstr>
      <vt:lpstr>'план 19г '!Область_печати</vt:lpstr>
      <vt:lpstr>'план 19г развернутый'!Область_печати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Сивина Юлия Михайловна</dc:creator>
  <cp:lastModifiedBy>Krivneva</cp:lastModifiedBy>
  <cp:lastPrinted>2020-01-14T13:30:00Z</cp:lastPrinted>
  <dcterms:created xsi:type="dcterms:W3CDTF">2019-02-11T08:10:38Z</dcterms:created>
  <dcterms:modified xsi:type="dcterms:W3CDTF">2021-06-17T07:43:44Z</dcterms:modified>
</cp:coreProperties>
</file>